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C:\Users\Shushunov.SS\Desktop\ДНС Сити\1. Объекты\ОКС 12.2\9.4 Внутренняя отделка\Формы КП\"/>
    </mc:Choice>
  </mc:AlternateContent>
  <xr:revisionPtr revIDLastSave="0" documentId="13_ncr:1_{5D67A525-DBC1-403C-9D2B-FD6FCCA6FFA2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 КП" sheetId="1" r:id="rId1"/>
    <sheet name="ЛСР №1" sheetId="3" r:id="rId2"/>
    <sheet name="Ведомость ДМ" sheetId="5" r:id="rId3"/>
    <sheet name="ГПР" sheetId="8" r:id="rId4"/>
    <sheet name="Замечания-предложения к РД" sheetId="6" r:id="rId5"/>
  </sheets>
  <definedNames>
    <definedName name="_xlnm._FilterDatabase" localSheetId="2" hidden="1">'Ведомость ДМ'!$B$5:$E$16</definedName>
    <definedName name="_xlnm._FilterDatabase" localSheetId="1" hidden="1">'ЛСР №1'!$A$14:$S$624</definedName>
    <definedName name="_xlnm._FilterDatabase" localSheetId="0" hidden="1">'Форма КП'!$A$26:$I$54</definedName>
    <definedName name="_xlnm.Print_Area" localSheetId="2">'Ведомость ДМ'!$A$1:$F$25</definedName>
    <definedName name="_xlnm.Print_Area" localSheetId="0">'Форма КП'!$A$3:$G$88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1" i="5" l="1"/>
  <c r="D21" i="5"/>
  <c r="C22" i="5"/>
  <c r="D22" i="5"/>
  <c r="C7" i="5"/>
  <c r="D7" i="5"/>
  <c r="C8" i="5"/>
  <c r="D8" i="5"/>
  <c r="C9" i="5"/>
  <c r="D9" i="5"/>
  <c r="C10" i="5"/>
  <c r="D10" i="5"/>
  <c r="C11" i="5"/>
  <c r="D11" i="5"/>
  <c r="C12" i="5"/>
  <c r="D12" i="5"/>
  <c r="C13" i="5"/>
  <c r="D13" i="5"/>
  <c r="C14" i="5"/>
  <c r="D14" i="5"/>
  <c r="C15" i="5"/>
  <c r="D15" i="5"/>
  <c r="C16" i="5"/>
  <c r="D16" i="5"/>
  <c r="C17" i="5"/>
  <c r="D17" i="5"/>
  <c r="C18" i="5"/>
  <c r="D18" i="5"/>
  <c r="C19" i="5"/>
  <c r="D19" i="5"/>
  <c r="C20" i="5"/>
  <c r="D20" i="5"/>
  <c r="D6" i="5"/>
  <c r="C6" i="5"/>
  <c r="P22" i="3"/>
  <c r="P21" i="3"/>
  <c r="P614" i="3"/>
  <c r="R614" i="3" s="1"/>
  <c r="P613" i="3"/>
  <c r="R613" i="3" s="1"/>
  <c r="P611" i="3"/>
  <c r="R611" i="3" s="1"/>
  <c r="P610" i="3"/>
  <c r="R610" i="3" s="1"/>
  <c r="P607" i="3"/>
  <c r="R607" i="3" s="1"/>
  <c r="P606" i="3"/>
  <c r="R606" i="3" s="1"/>
  <c r="P602" i="3"/>
  <c r="R602" i="3" s="1"/>
  <c r="P601" i="3"/>
  <c r="R601" i="3" s="1"/>
  <c r="P599" i="3"/>
  <c r="R599" i="3" s="1"/>
  <c r="P598" i="3"/>
  <c r="R598" i="3" s="1"/>
  <c r="P596" i="3"/>
  <c r="R596" i="3" s="1"/>
  <c r="P595" i="3"/>
  <c r="R595" i="3" s="1"/>
  <c r="P594" i="3"/>
  <c r="R594" i="3" s="1"/>
  <c r="P593" i="3"/>
  <c r="R593" i="3" s="1"/>
  <c r="P591" i="3"/>
  <c r="R591" i="3" s="1"/>
  <c r="P590" i="3"/>
  <c r="R590" i="3" s="1"/>
  <c r="P588" i="3"/>
  <c r="R588" i="3" s="1"/>
  <c r="P587" i="3"/>
  <c r="R587" i="3" s="1"/>
  <c r="P584" i="3"/>
  <c r="R584" i="3" s="1"/>
  <c r="P583" i="3"/>
  <c r="R583" i="3" s="1"/>
  <c r="P570" i="3"/>
  <c r="R570" i="3" s="1"/>
  <c r="P569" i="3"/>
  <c r="R569" i="3" s="1"/>
  <c r="P567" i="3"/>
  <c r="R567" i="3" s="1"/>
  <c r="P566" i="3"/>
  <c r="R566" i="3" s="1"/>
  <c r="P563" i="3"/>
  <c r="R563" i="3" s="1"/>
  <c r="P562" i="3"/>
  <c r="R562" i="3" s="1"/>
  <c r="P558" i="3"/>
  <c r="R558" i="3" s="1"/>
  <c r="P557" i="3"/>
  <c r="R557" i="3" s="1"/>
  <c r="P555" i="3"/>
  <c r="R555" i="3" s="1"/>
  <c r="P554" i="3"/>
  <c r="R554" i="3" s="1"/>
  <c r="P552" i="3"/>
  <c r="R552" i="3" s="1"/>
  <c r="P551" i="3"/>
  <c r="R551" i="3" s="1"/>
  <c r="P550" i="3"/>
  <c r="R550" i="3" s="1"/>
  <c r="P549" i="3"/>
  <c r="R549" i="3" s="1"/>
  <c r="P547" i="3"/>
  <c r="R547" i="3" s="1"/>
  <c r="P546" i="3"/>
  <c r="R546" i="3" s="1"/>
  <c r="P544" i="3"/>
  <c r="R544" i="3" s="1"/>
  <c r="P543" i="3"/>
  <c r="R543" i="3" s="1"/>
  <c r="P540" i="3"/>
  <c r="R540" i="3" s="1"/>
  <c r="P539" i="3"/>
  <c r="R539" i="3" s="1"/>
  <c r="P526" i="3"/>
  <c r="R526" i="3" s="1"/>
  <c r="P525" i="3"/>
  <c r="R525" i="3" s="1"/>
  <c r="P523" i="3"/>
  <c r="R523" i="3" s="1"/>
  <c r="P522" i="3"/>
  <c r="R522" i="3" s="1"/>
  <c r="P519" i="3"/>
  <c r="R519" i="3" s="1"/>
  <c r="P518" i="3"/>
  <c r="R518" i="3" s="1"/>
  <c r="P514" i="3"/>
  <c r="R514" i="3" s="1"/>
  <c r="P513" i="3"/>
  <c r="R513" i="3" s="1"/>
  <c r="P511" i="3"/>
  <c r="R511" i="3" s="1"/>
  <c r="P510" i="3"/>
  <c r="R510" i="3" s="1"/>
  <c r="P508" i="3"/>
  <c r="R508" i="3" s="1"/>
  <c r="P507" i="3"/>
  <c r="R507" i="3" s="1"/>
  <c r="P506" i="3"/>
  <c r="R506" i="3" s="1"/>
  <c r="P505" i="3"/>
  <c r="R505" i="3" s="1"/>
  <c r="P503" i="3"/>
  <c r="R503" i="3" s="1"/>
  <c r="P502" i="3"/>
  <c r="R502" i="3" s="1"/>
  <c r="P500" i="3"/>
  <c r="R500" i="3" s="1"/>
  <c r="P499" i="3"/>
  <c r="R499" i="3" s="1"/>
  <c r="P496" i="3"/>
  <c r="R496" i="3" s="1"/>
  <c r="P495" i="3"/>
  <c r="R495" i="3" s="1"/>
  <c r="P482" i="3"/>
  <c r="R482" i="3" s="1"/>
  <c r="P481" i="3"/>
  <c r="R481" i="3" s="1"/>
  <c r="P479" i="3"/>
  <c r="R479" i="3" s="1"/>
  <c r="P478" i="3"/>
  <c r="R478" i="3" s="1"/>
  <c r="P475" i="3"/>
  <c r="R475" i="3" s="1"/>
  <c r="P474" i="3"/>
  <c r="R474" i="3" s="1"/>
  <c r="P470" i="3"/>
  <c r="R470" i="3" s="1"/>
  <c r="P469" i="3"/>
  <c r="R469" i="3" s="1"/>
  <c r="P467" i="3"/>
  <c r="R467" i="3" s="1"/>
  <c r="P466" i="3"/>
  <c r="R466" i="3" s="1"/>
  <c r="P464" i="3"/>
  <c r="R464" i="3" s="1"/>
  <c r="P463" i="3"/>
  <c r="R463" i="3" s="1"/>
  <c r="P462" i="3"/>
  <c r="R462" i="3" s="1"/>
  <c r="P461" i="3"/>
  <c r="R461" i="3" s="1"/>
  <c r="P459" i="3"/>
  <c r="R459" i="3" s="1"/>
  <c r="P458" i="3"/>
  <c r="R458" i="3" s="1"/>
  <c r="P456" i="3"/>
  <c r="R456" i="3" s="1"/>
  <c r="P455" i="3"/>
  <c r="R455" i="3" s="1"/>
  <c r="P452" i="3"/>
  <c r="R452" i="3" s="1"/>
  <c r="P451" i="3"/>
  <c r="R451" i="3" s="1"/>
  <c r="P438" i="3"/>
  <c r="R438" i="3" s="1"/>
  <c r="P437" i="3"/>
  <c r="R437" i="3" s="1"/>
  <c r="P435" i="3"/>
  <c r="R435" i="3" s="1"/>
  <c r="P434" i="3"/>
  <c r="R434" i="3" s="1"/>
  <c r="P431" i="3"/>
  <c r="R431" i="3" s="1"/>
  <c r="P430" i="3"/>
  <c r="R430" i="3" s="1"/>
  <c r="P426" i="3"/>
  <c r="R426" i="3" s="1"/>
  <c r="P425" i="3"/>
  <c r="R425" i="3" s="1"/>
  <c r="P423" i="3"/>
  <c r="R423" i="3" s="1"/>
  <c r="P422" i="3"/>
  <c r="R422" i="3" s="1"/>
  <c r="P420" i="3"/>
  <c r="R420" i="3" s="1"/>
  <c r="P419" i="3"/>
  <c r="R419" i="3" s="1"/>
  <c r="P418" i="3"/>
  <c r="R418" i="3" s="1"/>
  <c r="P417" i="3"/>
  <c r="R417" i="3" s="1"/>
  <c r="P415" i="3"/>
  <c r="R415" i="3" s="1"/>
  <c r="P414" i="3"/>
  <c r="R414" i="3" s="1"/>
  <c r="P412" i="3"/>
  <c r="R412" i="3" s="1"/>
  <c r="P411" i="3"/>
  <c r="R411" i="3" s="1"/>
  <c r="P408" i="3"/>
  <c r="R408" i="3" s="1"/>
  <c r="P407" i="3"/>
  <c r="R407" i="3" s="1"/>
  <c r="P394" i="3"/>
  <c r="R394" i="3" s="1"/>
  <c r="P393" i="3"/>
  <c r="R393" i="3" s="1"/>
  <c r="P391" i="3"/>
  <c r="R391" i="3" s="1"/>
  <c r="P390" i="3"/>
  <c r="R390" i="3" s="1"/>
  <c r="P387" i="3"/>
  <c r="R387" i="3" s="1"/>
  <c r="P386" i="3"/>
  <c r="R386" i="3" s="1"/>
  <c r="P382" i="3"/>
  <c r="R382" i="3" s="1"/>
  <c r="P381" i="3"/>
  <c r="R381" i="3" s="1"/>
  <c r="P379" i="3"/>
  <c r="R379" i="3" s="1"/>
  <c r="P378" i="3"/>
  <c r="R378" i="3" s="1"/>
  <c r="P376" i="3"/>
  <c r="R376" i="3" s="1"/>
  <c r="P375" i="3"/>
  <c r="R375" i="3" s="1"/>
  <c r="P374" i="3"/>
  <c r="R374" i="3" s="1"/>
  <c r="P373" i="3"/>
  <c r="R373" i="3" s="1"/>
  <c r="P371" i="3"/>
  <c r="R371" i="3" s="1"/>
  <c r="P370" i="3"/>
  <c r="R370" i="3" s="1"/>
  <c r="P368" i="3"/>
  <c r="R368" i="3" s="1"/>
  <c r="P367" i="3"/>
  <c r="R367" i="3" s="1"/>
  <c r="P364" i="3"/>
  <c r="R364" i="3" s="1"/>
  <c r="P363" i="3"/>
  <c r="R363" i="3" s="1"/>
  <c r="P350" i="3"/>
  <c r="R350" i="3" s="1"/>
  <c r="P349" i="3"/>
  <c r="R349" i="3" s="1"/>
  <c r="P347" i="3"/>
  <c r="R347" i="3" s="1"/>
  <c r="P346" i="3"/>
  <c r="R346" i="3" s="1"/>
  <c r="P343" i="3"/>
  <c r="R343" i="3" s="1"/>
  <c r="P342" i="3"/>
  <c r="R342" i="3" s="1"/>
  <c r="P338" i="3"/>
  <c r="R338" i="3" s="1"/>
  <c r="P337" i="3"/>
  <c r="R337" i="3" s="1"/>
  <c r="P335" i="3"/>
  <c r="R335" i="3" s="1"/>
  <c r="P334" i="3"/>
  <c r="R334" i="3" s="1"/>
  <c r="P332" i="3"/>
  <c r="R332" i="3" s="1"/>
  <c r="P331" i="3"/>
  <c r="R331" i="3" s="1"/>
  <c r="P330" i="3"/>
  <c r="R330" i="3" s="1"/>
  <c r="P329" i="3"/>
  <c r="R329" i="3" s="1"/>
  <c r="P327" i="3"/>
  <c r="R327" i="3" s="1"/>
  <c r="P326" i="3"/>
  <c r="R326" i="3" s="1"/>
  <c r="P324" i="3"/>
  <c r="R324" i="3" s="1"/>
  <c r="P323" i="3"/>
  <c r="R323" i="3" s="1"/>
  <c r="P320" i="3"/>
  <c r="R320" i="3" s="1"/>
  <c r="P319" i="3"/>
  <c r="R319" i="3" s="1"/>
  <c r="P306" i="3"/>
  <c r="R306" i="3" s="1"/>
  <c r="P305" i="3"/>
  <c r="R305" i="3" s="1"/>
  <c r="P303" i="3"/>
  <c r="R303" i="3" s="1"/>
  <c r="P302" i="3"/>
  <c r="R302" i="3" s="1"/>
  <c r="P299" i="3"/>
  <c r="R299" i="3" s="1"/>
  <c r="P298" i="3"/>
  <c r="R298" i="3" s="1"/>
  <c r="P294" i="3"/>
  <c r="R294" i="3" s="1"/>
  <c r="P293" i="3"/>
  <c r="R293" i="3" s="1"/>
  <c r="P291" i="3"/>
  <c r="R291" i="3" s="1"/>
  <c r="P290" i="3"/>
  <c r="R290" i="3" s="1"/>
  <c r="P288" i="3"/>
  <c r="R288" i="3" s="1"/>
  <c r="P287" i="3"/>
  <c r="R287" i="3" s="1"/>
  <c r="P286" i="3"/>
  <c r="R286" i="3" s="1"/>
  <c r="P285" i="3"/>
  <c r="R285" i="3" s="1"/>
  <c r="P283" i="3"/>
  <c r="R283" i="3" s="1"/>
  <c r="P282" i="3"/>
  <c r="R282" i="3" s="1"/>
  <c r="P280" i="3"/>
  <c r="R280" i="3" s="1"/>
  <c r="P279" i="3"/>
  <c r="R279" i="3" s="1"/>
  <c r="P276" i="3"/>
  <c r="R276" i="3" s="1"/>
  <c r="P275" i="3"/>
  <c r="R275" i="3" s="1"/>
  <c r="P262" i="3"/>
  <c r="R262" i="3" s="1"/>
  <c r="P261" i="3"/>
  <c r="R261" i="3" s="1"/>
  <c r="P259" i="3"/>
  <c r="R259" i="3" s="1"/>
  <c r="P258" i="3"/>
  <c r="R258" i="3" s="1"/>
  <c r="P255" i="3"/>
  <c r="R255" i="3" s="1"/>
  <c r="P254" i="3"/>
  <c r="R254" i="3" s="1"/>
  <c r="P250" i="3"/>
  <c r="R250" i="3" s="1"/>
  <c r="P249" i="3"/>
  <c r="R249" i="3" s="1"/>
  <c r="P247" i="3"/>
  <c r="R247" i="3" s="1"/>
  <c r="P246" i="3"/>
  <c r="R246" i="3" s="1"/>
  <c r="P244" i="3"/>
  <c r="R244" i="3" s="1"/>
  <c r="P243" i="3"/>
  <c r="R243" i="3" s="1"/>
  <c r="P242" i="3"/>
  <c r="R242" i="3" s="1"/>
  <c r="P241" i="3"/>
  <c r="R241" i="3" s="1"/>
  <c r="P239" i="3"/>
  <c r="R239" i="3" s="1"/>
  <c r="P238" i="3"/>
  <c r="R238" i="3" s="1"/>
  <c r="P236" i="3"/>
  <c r="R236" i="3" s="1"/>
  <c r="P235" i="3"/>
  <c r="R235" i="3" s="1"/>
  <c r="P232" i="3"/>
  <c r="R232" i="3" s="1"/>
  <c r="P231" i="3"/>
  <c r="R231" i="3" s="1"/>
  <c r="P218" i="3"/>
  <c r="R218" i="3" s="1"/>
  <c r="P217" i="3"/>
  <c r="R217" i="3" s="1"/>
  <c r="P215" i="3"/>
  <c r="R215" i="3" s="1"/>
  <c r="P214" i="3"/>
  <c r="R214" i="3" s="1"/>
  <c r="P211" i="3"/>
  <c r="R211" i="3" s="1"/>
  <c r="P210" i="3"/>
  <c r="R210" i="3" s="1"/>
  <c r="P206" i="3"/>
  <c r="R206" i="3" s="1"/>
  <c r="P205" i="3"/>
  <c r="R205" i="3" s="1"/>
  <c r="P203" i="3"/>
  <c r="R203" i="3" s="1"/>
  <c r="P202" i="3"/>
  <c r="R202" i="3" s="1"/>
  <c r="P200" i="3"/>
  <c r="R200" i="3" s="1"/>
  <c r="P199" i="3"/>
  <c r="R199" i="3" s="1"/>
  <c r="P198" i="3"/>
  <c r="R198" i="3" s="1"/>
  <c r="P197" i="3"/>
  <c r="R197" i="3" s="1"/>
  <c r="P195" i="3"/>
  <c r="R195" i="3" s="1"/>
  <c r="P194" i="3"/>
  <c r="R194" i="3" s="1"/>
  <c r="P192" i="3"/>
  <c r="R192" i="3" s="1"/>
  <c r="P191" i="3"/>
  <c r="R191" i="3" s="1"/>
  <c r="P188" i="3"/>
  <c r="R188" i="3" s="1"/>
  <c r="P187" i="3"/>
  <c r="R187" i="3" s="1"/>
  <c r="P174" i="3"/>
  <c r="R174" i="3" s="1"/>
  <c r="P173" i="3"/>
  <c r="R173" i="3" s="1"/>
  <c r="P171" i="3"/>
  <c r="R171" i="3" s="1"/>
  <c r="P170" i="3"/>
  <c r="R170" i="3" s="1"/>
  <c r="P167" i="3"/>
  <c r="R167" i="3" s="1"/>
  <c r="P166" i="3"/>
  <c r="R166" i="3" s="1"/>
  <c r="P162" i="3"/>
  <c r="R162" i="3" s="1"/>
  <c r="P161" i="3"/>
  <c r="R161" i="3" s="1"/>
  <c r="P159" i="3"/>
  <c r="R159" i="3" s="1"/>
  <c r="P158" i="3"/>
  <c r="R158" i="3" s="1"/>
  <c r="P156" i="3"/>
  <c r="R156" i="3" s="1"/>
  <c r="P155" i="3"/>
  <c r="R155" i="3" s="1"/>
  <c r="P154" i="3"/>
  <c r="R154" i="3" s="1"/>
  <c r="P153" i="3"/>
  <c r="R153" i="3" s="1"/>
  <c r="P151" i="3"/>
  <c r="R151" i="3" s="1"/>
  <c r="P150" i="3"/>
  <c r="R150" i="3" s="1"/>
  <c r="P148" i="3"/>
  <c r="R148" i="3" s="1"/>
  <c r="P147" i="3"/>
  <c r="R147" i="3" s="1"/>
  <c r="P144" i="3"/>
  <c r="R144" i="3" s="1"/>
  <c r="P143" i="3"/>
  <c r="R143" i="3" s="1"/>
  <c r="P130" i="3"/>
  <c r="R130" i="3" s="1"/>
  <c r="P129" i="3"/>
  <c r="R129" i="3" s="1"/>
  <c r="P127" i="3"/>
  <c r="R127" i="3" s="1"/>
  <c r="P126" i="3"/>
  <c r="R126" i="3" s="1"/>
  <c r="P123" i="3"/>
  <c r="R123" i="3" s="1"/>
  <c r="P122" i="3"/>
  <c r="R122" i="3" s="1"/>
  <c r="P118" i="3"/>
  <c r="R118" i="3" s="1"/>
  <c r="P117" i="3"/>
  <c r="R117" i="3" s="1"/>
  <c r="P115" i="3"/>
  <c r="R115" i="3" s="1"/>
  <c r="P114" i="3"/>
  <c r="R114" i="3" s="1"/>
  <c r="P102" i="3"/>
  <c r="R102" i="3" s="1"/>
  <c r="P101" i="3"/>
  <c r="R101" i="3" s="1"/>
  <c r="P99" i="3"/>
  <c r="R99" i="3" s="1"/>
  <c r="P98" i="3"/>
  <c r="R98" i="3" s="1"/>
  <c r="P97" i="3"/>
  <c r="R97" i="3" s="1"/>
  <c r="P96" i="3"/>
  <c r="R96" i="3" s="1"/>
  <c r="P95" i="3"/>
  <c r="R95" i="3" s="1"/>
  <c r="P93" i="3"/>
  <c r="R93" i="3" s="1"/>
  <c r="P92" i="3"/>
  <c r="R92" i="3" s="1"/>
  <c r="P91" i="3"/>
  <c r="R91" i="3" s="1"/>
  <c r="P90" i="3"/>
  <c r="R90" i="3" s="1"/>
  <c r="P89" i="3"/>
  <c r="R89" i="3" s="1"/>
  <c r="P88" i="3"/>
  <c r="R88" i="3" s="1"/>
  <c r="P87" i="3"/>
  <c r="R87" i="3" s="1"/>
  <c r="P86" i="3"/>
  <c r="R86" i="3" s="1"/>
  <c r="P84" i="3"/>
  <c r="R84" i="3" s="1"/>
  <c r="P83" i="3"/>
  <c r="R83" i="3" s="1"/>
  <c r="P81" i="3"/>
  <c r="R81" i="3" s="1"/>
  <c r="P80" i="3"/>
  <c r="R80" i="3" s="1"/>
  <c r="P77" i="3"/>
  <c r="R77" i="3" s="1"/>
  <c r="P76" i="3"/>
  <c r="R76" i="3" s="1"/>
  <c r="P65" i="3"/>
  <c r="R65" i="3" s="1"/>
  <c r="P64" i="3"/>
  <c r="R64" i="3" s="1"/>
  <c r="P62" i="3"/>
  <c r="R62" i="3" s="1"/>
  <c r="P61" i="3"/>
  <c r="R61" i="3" s="1"/>
  <c r="P59" i="3"/>
  <c r="R59" i="3" s="1"/>
  <c r="P58" i="3"/>
  <c r="R58" i="3" s="1"/>
  <c r="P55" i="3"/>
  <c r="R55" i="3" s="1"/>
  <c r="P54" i="3"/>
  <c r="R54" i="3" s="1"/>
  <c r="P51" i="3"/>
  <c r="R51" i="3" s="1"/>
  <c r="P50" i="3"/>
  <c r="R50" i="3" s="1"/>
  <c r="P48" i="3"/>
  <c r="R48" i="3" s="1"/>
  <c r="P47" i="3"/>
  <c r="R47" i="3" s="1"/>
  <c r="P45" i="3"/>
  <c r="R45" i="3" s="1"/>
  <c r="P44" i="3"/>
  <c r="R44" i="3" s="1"/>
  <c r="P43" i="3"/>
  <c r="R43" i="3" s="1"/>
  <c r="P42" i="3"/>
  <c r="R42" i="3" s="1"/>
  <c r="P41" i="3"/>
  <c r="R41" i="3" s="1"/>
  <c r="P40" i="3"/>
  <c r="R40" i="3" s="1"/>
  <c r="P39" i="3"/>
  <c r="R39" i="3" s="1"/>
  <c r="P37" i="3"/>
  <c r="R37" i="3" s="1"/>
  <c r="P36" i="3"/>
  <c r="R36" i="3" s="1"/>
  <c r="P33" i="3"/>
  <c r="R33" i="3" s="1"/>
  <c r="P32" i="3"/>
  <c r="R32" i="3" s="1"/>
  <c r="P29" i="3"/>
  <c r="R29" i="3" s="1"/>
  <c r="P28" i="3"/>
  <c r="R28" i="3" s="1"/>
  <c r="P25" i="3"/>
  <c r="R25" i="3" s="1"/>
  <c r="P24" i="3"/>
  <c r="R24" i="3" s="1"/>
  <c r="R22" i="3" l="1"/>
  <c r="R21" i="3"/>
  <c r="P618" i="3"/>
  <c r="P617" i="3"/>
  <c r="P616" i="3"/>
  <c r="P609" i="3"/>
  <c r="P605" i="3"/>
  <c r="P586" i="3"/>
  <c r="P582" i="3"/>
  <c r="P580" i="3"/>
  <c r="P579" i="3"/>
  <c r="P578" i="3"/>
  <c r="P574" i="3"/>
  <c r="P573" i="3"/>
  <c r="P572" i="3"/>
  <c r="P565" i="3"/>
  <c r="P561" i="3"/>
  <c r="P542" i="3"/>
  <c r="P538" i="3"/>
  <c r="P536" i="3"/>
  <c r="P535" i="3"/>
  <c r="P534" i="3"/>
  <c r="P530" i="3"/>
  <c r="P529" i="3"/>
  <c r="P528" i="3"/>
  <c r="P521" i="3"/>
  <c r="P517" i="3"/>
  <c r="P498" i="3"/>
  <c r="P494" i="3"/>
  <c r="P492" i="3"/>
  <c r="P491" i="3"/>
  <c r="P490" i="3"/>
  <c r="P486" i="3"/>
  <c r="P485" i="3"/>
  <c r="P484" i="3"/>
  <c r="P477" i="3"/>
  <c r="P473" i="3"/>
  <c r="P454" i="3"/>
  <c r="P450" i="3"/>
  <c r="R450" i="3" s="1"/>
  <c r="P448" i="3"/>
  <c r="P447" i="3"/>
  <c r="P446" i="3"/>
  <c r="P442" i="3"/>
  <c r="P441" i="3"/>
  <c r="P440" i="3"/>
  <c r="P433" i="3"/>
  <c r="P429" i="3"/>
  <c r="P410" i="3"/>
  <c r="R410" i="3" s="1"/>
  <c r="P406" i="3"/>
  <c r="P404" i="3"/>
  <c r="P403" i="3"/>
  <c r="P402" i="3"/>
  <c r="P398" i="3"/>
  <c r="P397" i="3"/>
  <c r="P396" i="3"/>
  <c r="P389" i="3"/>
  <c r="P385" i="3"/>
  <c r="P366" i="3"/>
  <c r="P362" i="3"/>
  <c r="P360" i="3"/>
  <c r="P359" i="3"/>
  <c r="P358" i="3"/>
  <c r="P354" i="3"/>
  <c r="P353" i="3"/>
  <c r="P352" i="3"/>
  <c r="P345" i="3"/>
  <c r="P341" i="3"/>
  <c r="P322" i="3"/>
  <c r="P318" i="3"/>
  <c r="P316" i="3"/>
  <c r="P315" i="3"/>
  <c r="R315" i="3" s="1"/>
  <c r="P314" i="3"/>
  <c r="P310" i="3"/>
  <c r="P309" i="3"/>
  <c r="P308" i="3"/>
  <c r="R308" i="3" s="1"/>
  <c r="P301" i="3"/>
  <c r="P297" i="3"/>
  <c r="R297" i="3" s="1"/>
  <c r="P278" i="3"/>
  <c r="P274" i="3"/>
  <c r="R274" i="3" s="1"/>
  <c r="P272" i="3"/>
  <c r="P271" i="3"/>
  <c r="R271" i="3" s="1"/>
  <c r="P270" i="3"/>
  <c r="P266" i="3"/>
  <c r="P265" i="3"/>
  <c r="P264" i="3"/>
  <c r="P257" i="3"/>
  <c r="P253" i="3"/>
  <c r="R253" i="3" s="1"/>
  <c r="P234" i="3"/>
  <c r="P230" i="3"/>
  <c r="P228" i="3"/>
  <c r="P227" i="3"/>
  <c r="R227" i="3" s="1"/>
  <c r="P226" i="3"/>
  <c r="P222" i="3"/>
  <c r="P221" i="3"/>
  <c r="R221" i="3" s="1"/>
  <c r="P220" i="3"/>
  <c r="P213" i="3"/>
  <c r="P209" i="3"/>
  <c r="P190" i="3"/>
  <c r="P186" i="3"/>
  <c r="P184" i="3"/>
  <c r="P183" i="3"/>
  <c r="P182" i="3"/>
  <c r="P178" i="3"/>
  <c r="P177" i="3"/>
  <c r="P176" i="3"/>
  <c r="P169" i="3"/>
  <c r="R169" i="3" s="1"/>
  <c r="P165" i="3"/>
  <c r="P146" i="3"/>
  <c r="P142" i="3"/>
  <c r="P140" i="3"/>
  <c r="P139" i="3"/>
  <c r="P138" i="3"/>
  <c r="P134" i="3"/>
  <c r="P133" i="3"/>
  <c r="P132" i="3"/>
  <c r="P125" i="3"/>
  <c r="P121" i="3"/>
  <c r="R121" i="3" s="1"/>
  <c r="P112" i="3"/>
  <c r="P111" i="3"/>
  <c r="P110" i="3"/>
  <c r="P108" i="3"/>
  <c r="P107" i="3"/>
  <c r="P106" i="3"/>
  <c r="P104" i="3"/>
  <c r="P79" i="3"/>
  <c r="P75" i="3"/>
  <c r="P71" i="3"/>
  <c r="P70" i="3"/>
  <c r="P69" i="3"/>
  <c r="P67" i="3"/>
  <c r="P57" i="3"/>
  <c r="P53" i="3"/>
  <c r="P35" i="3"/>
  <c r="P31" i="3"/>
  <c r="R31" i="3" s="1"/>
  <c r="P27" i="3"/>
  <c r="N615" i="3"/>
  <c r="N612" i="3"/>
  <c r="N608" i="3"/>
  <c r="N604" i="3"/>
  <c r="N600" i="3"/>
  <c r="N597" i="3"/>
  <c r="N592" i="3"/>
  <c r="N589" i="3"/>
  <c r="N585" i="3"/>
  <c r="N581" i="3"/>
  <c r="N577" i="3"/>
  <c r="N571" i="3"/>
  <c r="N568" i="3"/>
  <c r="N564" i="3"/>
  <c r="N560" i="3"/>
  <c r="N556" i="3"/>
  <c r="N553" i="3"/>
  <c r="N548" i="3"/>
  <c r="N545" i="3"/>
  <c r="N541" i="3"/>
  <c r="N537" i="3"/>
  <c r="N533" i="3"/>
  <c r="N527" i="3"/>
  <c r="N524" i="3"/>
  <c r="N520" i="3"/>
  <c r="N516" i="3"/>
  <c r="N512" i="3"/>
  <c r="N509" i="3"/>
  <c r="N504" i="3"/>
  <c r="N501" i="3"/>
  <c r="N497" i="3"/>
  <c r="N493" i="3"/>
  <c r="N489" i="3"/>
  <c r="N483" i="3"/>
  <c r="N480" i="3"/>
  <c r="N476" i="3"/>
  <c r="N472" i="3"/>
  <c r="N468" i="3"/>
  <c r="N465" i="3"/>
  <c r="N460" i="3"/>
  <c r="N457" i="3"/>
  <c r="N453" i="3"/>
  <c r="N449" i="3"/>
  <c r="N445" i="3"/>
  <c r="N439" i="3"/>
  <c r="N436" i="3"/>
  <c r="N432" i="3"/>
  <c r="N428" i="3"/>
  <c r="N424" i="3"/>
  <c r="N421" i="3"/>
  <c r="N416" i="3"/>
  <c r="N413" i="3"/>
  <c r="N409" i="3"/>
  <c r="N405" i="3"/>
  <c r="N401" i="3"/>
  <c r="N395" i="3"/>
  <c r="N392" i="3"/>
  <c r="N388" i="3"/>
  <c r="N384" i="3"/>
  <c r="N380" i="3"/>
  <c r="N377" i="3"/>
  <c r="N372" i="3"/>
  <c r="N369" i="3"/>
  <c r="N365" i="3"/>
  <c r="N361" i="3"/>
  <c r="N357" i="3"/>
  <c r="N351" i="3"/>
  <c r="N348" i="3"/>
  <c r="N344" i="3"/>
  <c r="N340" i="3"/>
  <c r="N336" i="3"/>
  <c r="N333" i="3"/>
  <c r="N328" i="3"/>
  <c r="N325" i="3"/>
  <c r="N321" i="3"/>
  <c r="N317" i="3"/>
  <c r="N313" i="3"/>
  <c r="N307" i="3"/>
  <c r="N304" i="3"/>
  <c r="N300" i="3"/>
  <c r="N296" i="3"/>
  <c r="N292" i="3"/>
  <c r="N289" i="3"/>
  <c r="N284" i="3"/>
  <c r="N281" i="3"/>
  <c r="N277" i="3"/>
  <c r="N273" i="3"/>
  <c r="N269" i="3"/>
  <c r="N263" i="3"/>
  <c r="N260" i="3"/>
  <c r="N256" i="3"/>
  <c r="N252" i="3"/>
  <c r="N248" i="3"/>
  <c r="N245" i="3"/>
  <c r="N240" i="3"/>
  <c r="N237" i="3"/>
  <c r="N233" i="3"/>
  <c r="N229" i="3"/>
  <c r="N225" i="3"/>
  <c r="N219" i="3"/>
  <c r="N216" i="3"/>
  <c r="N212" i="3"/>
  <c r="N208" i="3"/>
  <c r="N204" i="3"/>
  <c r="N201" i="3"/>
  <c r="N196" i="3"/>
  <c r="N193" i="3"/>
  <c r="N189" i="3"/>
  <c r="N185" i="3"/>
  <c r="N181" i="3"/>
  <c r="N175" i="3"/>
  <c r="N172" i="3"/>
  <c r="N168" i="3"/>
  <c r="N164" i="3"/>
  <c r="N160" i="3"/>
  <c r="N157" i="3"/>
  <c r="N152" i="3"/>
  <c r="N149" i="3"/>
  <c r="N145" i="3"/>
  <c r="N141" i="3"/>
  <c r="N137" i="3"/>
  <c r="N131" i="3"/>
  <c r="N128" i="3"/>
  <c r="N124" i="3"/>
  <c r="N120" i="3"/>
  <c r="N116" i="3"/>
  <c r="N113" i="3"/>
  <c r="N109" i="3"/>
  <c r="N105" i="3"/>
  <c r="N103" i="3"/>
  <c r="N100" i="3"/>
  <c r="N94" i="3"/>
  <c r="N85" i="3"/>
  <c r="N82" i="3"/>
  <c r="N78" i="3"/>
  <c r="N74" i="3"/>
  <c r="N68" i="3"/>
  <c r="N66" i="3"/>
  <c r="N63" i="3"/>
  <c r="N60" i="3"/>
  <c r="N56" i="3"/>
  <c r="N52" i="3"/>
  <c r="N49" i="3"/>
  <c r="N46" i="3"/>
  <c r="N38" i="3"/>
  <c r="N34" i="3"/>
  <c r="N30" i="3"/>
  <c r="N26" i="3"/>
  <c r="N23" i="3"/>
  <c r="F68" i="3"/>
  <c r="M71" i="3"/>
  <c r="L71" i="3"/>
  <c r="K71" i="3"/>
  <c r="I71" i="3"/>
  <c r="H71" i="3"/>
  <c r="G71" i="3"/>
  <c r="M70" i="3"/>
  <c r="L70" i="3"/>
  <c r="K70" i="3"/>
  <c r="I70" i="3"/>
  <c r="H70" i="3"/>
  <c r="G70" i="3"/>
  <c r="M69" i="3"/>
  <c r="L69" i="3"/>
  <c r="K69" i="3"/>
  <c r="I69" i="3"/>
  <c r="H69" i="3"/>
  <c r="G69" i="3"/>
  <c r="J68" i="3"/>
  <c r="J71" i="3" s="1"/>
  <c r="F66" i="3"/>
  <c r="J66" i="3"/>
  <c r="J67" i="3" s="1"/>
  <c r="F67" i="3" s="1"/>
  <c r="J63" i="3"/>
  <c r="J65" i="3" s="1"/>
  <c r="F65" i="3" s="1"/>
  <c r="J60" i="3"/>
  <c r="J62" i="3" s="1"/>
  <c r="F62" i="3" s="1"/>
  <c r="F56" i="3"/>
  <c r="J59" i="3"/>
  <c r="F59" i="3" s="1"/>
  <c r="J58" i="3"/>
  <c r="F58" i="3" s="1"/>
  <c r="J56" i="3"/>
  <c r="J57" i="3" s="1"/>
  <c r="F57" i="3" s="1"/>
  <c r="F52" i="3"/>
  <c r="J54" i="3"/>
  <c r="F54" i="3" s="1"/>
  <c r="J52" i="3"/>
  <c r="J55" i="3" s="1"/>
  <c r="F55" i="3" s="1"/>
  <c r="F49" i="3"/>
  <c r="M50" i="3"/>
  <c r="L50" i="3"/>
  <c r="K50" i="3"/>
  <c r="J50" i="3"/>
  <c r="I50" i="3"/>
  <c r="M49" i="3"/>
  <c r="M51" i="3" s="1"/>
  <c r="L49" i="3"/>
  <c r="L51" i="3" s="1"/>
  <c r="K49" i="3"/>
  <c r="K51" i="3" s="1"/>
  <c r="J49" i="3"/>
  <c r="J51" i="3" s="1"/>
  <c r="I49" i="3"/>
  <c r="I51" i="3" s="1"/>
  <c r="H49" i="3"/>
  <c r="H50" i="3" s="1"/>
  <c r="G49" i="3"/>
  <c r="G50" i="3" s="1"/>
  <c r="F46" i="3"/>
  <c r="K47" i="3"/>
  <c r="J47" i="3"/>
  <c r="L48" i="3"/>
  <c r="M48" i="3"/>
  <c r="M47" i="3"/>
  <c r="L47" i="3"/>
  <c r="I47" i="3"/>
  <c r="J48" i="3"/>
  <c r="I48" i="3"/>
  <c r="H47" i="3"/>
  <c r="G47" i="3"/>
  <c r="F39" i="3"/>
  <c r="F38" i="3"/>
  <c r="J45" i="3"/>
  <c r="J43" i="3" s="1"/>
  <c r="J44" i="3"/>
  <c r="J42" i="3" s="1"/>
  <c r="J41" i="3"/>
  <c r="J40" i="3"/>
  <c r="J39" i="3"/>
  <c r="M45" i="3"/>
  <c r="L45" i="3"/>
  <c r="K45" i="3"/>
  <c r="I45" i="3"/>
  <c r="H45" i="3"/>
  <c r="G45" i="3"/>
  <c r="M44" i="3"/>
  <c r="L44" i="3"/>
  <c r="K44" i="3"/>
  <c r="I44" i="3"/>
  <c r="H44" i="3"/>
  <c r="G44" i="3"/>
  <c r="M42" i="3"/>
  <c r="L42" i="3"/>
  <c r="K42" i="3"/>
  <c r="I42" i="3"/>
  <c r="H42" i="3"/>
  <c r="G42" i="3"/>
  <c r="M41" i="3"/>
  <c r="L41" i="3"/>
  <c r="K41" i="3"/>
  <c r="I41" i="3"/>
  <c r="H41" i="3"/>
  <c r="G41" i="3"/>
  <c r="M40" i="3"/>
  <c r="M43" i="3" s="1"/>
  <c r="L40" i="3"/>
  <c r="L43" i="3" s="1"/>
  <c r="K40" i="3"/>
  <c r="K43" i="3" s="1"/>
  <c r="I40" i="3"/>
  <c r="I43" i="3" s="1"/>
  <c r="H40" i="3"/>
  <c r="H43" i="3" s="1"/>
  <c r="G40" i="3"/>
  <c r="G43" i="3" s="1"/>
  <c r="J38" i="3"/>
  <c r="F34" i="3"/>
  <c r="M37" i="3"/>
  <c r="L37" i="3"/>
  <c r="K37" i="3"/>
  <c r="I37" i="3"/>
  <c r="H37" i="3"/>
  <c r="G37" i="3"/>
  <c r="M36" i="3"/>
  <c r="L36" i="3"/>
  <c r="K36" i="3"/>
  <c r="J36" i="3"/>
  <c r="I36" i="3"/>
  <c r="H36" i="3"/>
  <c r="G36" i="3"/>
  <c r="M35" i="3"/>
  <c r="L35" i="3"/>
  <c r="K35" i="3"/>
  <c r="I35" i="3"/>
  <c r="H35" i="3"/>
  <c r="G35" i="3"/>
  <c r="J34" i="3"/>
  <c r="J37" i="3" s="1"/>
  <c r="F30" i="3"/>
  <c r="J33" i="3"/>
  <c r="H33" i="3"/>
  <c r="J32" i="3"/>
  <c r="I32" i="3"/>
  <c r="J31" i="3"/>
  <c r="I31" i="3"/>
  <c r="H31" i="3"/>
  <c r="M30" i="3"/>
  <c r="M33" i="3" s="1"/>
  <c r="L30" i="3"/>
  <c r="L33" i="3" s="1"/>
  <c r="K30" i="3"/>
  <c r="K33" i="3" s="1"/>
  <c r="J30" i="3"/>
  <c r="I30" i="3"/>
  <c r="I33" i="3" s="1"/>
  <c r="H30" i="3"/>
  <c r="H32" i="3" s="1"/>
  <c r="G30" i="3"/>
  <c r="G32" i="3" s="1"/>
  <c r="F26" i="3"/>
  <c r="J29" i="3"/>
  <c r="I29" i="3"/>
  <c r="H29" i="3"/>
  <c r="G29" i="3"/>
  <c r="J28" i="3"/>
  <c r="I28" i="3"/>
  <c r="J27" i="3"/>
  <c r="I27" i="3"/>
  <c r="H27" i="3"/>
  <c r="G27" i="3"/>
  <c r="M26" i="3"/>
  <c r="M29" i="3" s="1"/>
  <c r="L26" i="3"/>
  <c r="L29" i="3" s="1"/>
  <c r="K26" i="3"/>
  <c r="K29" i="3" s="1"/>
  <c r="J26" i="3"/>
  <c r="I26" i="3"/>
  <c r="H26" i="3"/>
  <c r="H28" i="3" s="1"/>
  <c r="G26" i="3"/>
  <c r="G28" i="3" s="1"/>
  <c r="J615" i="3"/>
  <c r="J618" i="3" s="1"/>
  <c r="I615" i="3"/>
  <c r="I618" i="3" s="1"/>
  <c r="H615" i="3"/>
  <c r="H616" i="3" s="1"/>
  <c r="G615" i="3"/>
  <c r="G616" i="3" s="1"/>
  <c r="F615" i="3"/>
  <c r="J614" i="3"/>
  <c r="I614" i="3"/>
  <c r="H614" i="3"/>
  <c r="J613" i="3"/>
  <c r="I613" i="3"/>
  <c r="H613" i="3"/>
  <c r="G611" i="3"/>
  <c r="I610" i="3"/>
  <c r="H610" i="3"/>
  <c r="G610" i="3"/>
  <c r="I609" i="3"/>
  <c r="H609" i="3"/>
  <c r="J608" i="3"/>
  <c r="J610" i="3" s="1"/>
  <c r="I608" i="3"/>
  <c r="I611" i="3" s="1"/>
  <c r="H608" i="3"/>
  <c r="H611" i="3" s="1"/>
  <c r="G608" i="3"/>
  <c r="J604" i="3"/>
  <c r="J605" i="3" s="1"/>
  <c r="I604" i="3"/>
  <c r="I605" i="3" s="1"/>
  <c r="H604" i="3"/>
  <c r="H605" i="3" s="1"/>
  <c r="G604" i="3"/>
  <c r="G606" i="3" s="1"/>
  <c r="H601" i="3"/>
  <c r="J600" i="3"/>
  <c r="J602" i="3" s="1"/>
  <c r="I600" i="3"/>
  <c r="I602" i="3" s="1"/>
  <c r="H600" i="3"/>
  <c r="H602" i="3" s="1"/>
  <c r="G600" i="3"/>
  <c r="G602" i="3" s="1"/>
  <c r="J599" i="3"/>
  <c r="I599" i="3"/>
  <c r="H599" i="3"/>
  <c r="G599" i="3"/>
  <c r="J598" i="3"/>
  <c r="I598" i="3"/>
  <c r="H598" i="3"/>
  <c r="G598" i="3"/>
  <c r="F597" i="3"/>
  <c r="G596" i="3"/>
  <c r="H595" i="3"/>
  <c r="G595" i="3"/>
  <c r="H594" i="3"/>
  <c r="J592" i="3"/>
  <c r="J594" i="3" s="1"/>
  <c r="I592" i="3"/>
  <c r="I594" i="3" s="1"/>
  <c r="H592" i="3"/>
  <c r="H593" i="3" s="1"/>
  <c r="G592" i="3"/>
  <c r="G594" i="3" s="1"/>
  <c r="I591" i="3"/>
  <c r="H591" i="3"/>
  <c r="J590" i="3"/>
  <c r="I590" i="3"/>
  <c r="H590" i="3"/>
  <c r="J589" i="3"/>
  <c r="J591" i="3" s="1"/>
  <c r="I589" i="3"/>
  <c r="H589" i="3"/>
  <c r="G589" i="3"/>
  <c r="G588" i="3"/>
  <c r="J587" i="3"/>
  <c r="I587" i="3"/>
  <c r="H587" i="3"/>
  <c r="G587" i="3"/>
  <c r="G586" i="3"/>
  <c r="J585" i="3"/>
  <c r="J586" i="3" s="1"/>
  <c r="I585" i="3"/>
  <c r="I586" i="3" s="1"/>
  <c r="H585" i="3"/>
  <c r="G585" i="3"/>
  <c r="J583" i="3"/>
  <c r="I583" i="3"/>
  <c r="H583" i="3"/>
  <c r="G583" i="3"/>
  <c r="J581" i="3"/>
  <c r="J582" i="3" s="1"/>
  <c r="I581" i="3"/>
  <c r="I582" i="3" s="1"/>
  <c r="H581" i="3"/>
  <c r="H582" i="3" s="1"/>
  <c r="G581" i="3"/>
  <c r="G582" i="3" s="1"/>
  <c r="G578" i="3"/>
  <c r="J577" i="3"/>
  <c r="J579" i="3" s="1"/>
  <c r="I577" i="3"/>
  <c r="I580" i="3" s="1"/>
  <c r="H577" i="3"/>
  <c r="H580" i="3" s="1"/>
  <c r="G577" i="3"/>
  <c r="G580" i="3" s="1"/>
  <c r="I572" i="3"/>
  <c r="J571" i="3"/>
  <c r="J574" i="3" s="1"/>
  <c r="I571" i="3"/>
  <c r="I573" i="3" s="1"/>
  <c r="H571" i="3"/>
  <c r="H573" i="3" s="1"/>
  <c r="G571" i="3"/>
  <c r="G573" i="3" s="1"/>
  <c r="J570" i="3"/>
  <c r="I570" i="3"/>
  <c r="H570" i="3"/>
  <c r="J569" i="3"/>
  <c r="I569" i="3"/>
  <c r="H569" i="3"/>
  <c r="J564" i="3"/>
  <c r="J566" i="3" s="1"/>
  <c r="I564" i="3"/>
  <c r="I565" i="3" s="1"/>
  <c r="H564" i="3"/>
  <c r="H565" i="3" s="1"/>
  <c r="G564" i="3"/>
  <c r="G568" i="3" s="1"/>
  <c r="J562" i="3"/>
  <c r="H561" i="3"/>
  <c r="J560" i="3"/>
  <c r="J563" i="3" s="1"/>
  <c r="I560" i="3"/>
  <c r="I563" i="3" s="1"/>
  <c r="H560" i="3"/>
  <c r="H562" i="3" s="1"/>
  <c r="G560" i="3"/>
  <c r="G562" i="3" s="1"/>
  <c r="F560" i="3"/>
  <c r="J558" i="3"/>
  <c r="I558" i="3"/>
  <c r="J556" i="3"/>
  <c r="J557" i="3" s="1"/>
  <c r="I556" i="3"/>
  <c r="I557" i="3" s="1"/>
  <c r="H556" i="3"/>
  <c r="H558" i="3" s="1"/>
  <c r="G556" i="3"/>
  <c r="G558" i="3" s="1"/>
  <c r="F556" i="3"/>
  <c r="J555" i="3"/>
  <c r="I555" i="3"/>
  <c r="H555" i="3"/>
  <c r="G555" i="3"/>
  <c r="J554" i="3"/>
  <c r="I554" i="3"/>
  <c r="H554" i="3"/>
  <c r="G554" i="3"/>
  <c r="F553" i="3"/>
  <c r="I552" i="3"/>
  <c r="H552" i="3"/>
  <c r="J550" i="3"/>
  <c r="I549" i="3"/>
  <c r="J548" i="3"/>
  <c r="J551" i="3" s="1"/>
  <c r="I548" i="3"/>
  <c r="I551" i="3" s="1"/>
  <c r="H548" i="3"/>
  <c r="H551" i="3" s="1"/>
  <c r="G548" i="3"/>
  <c r="G551" i="3" s="1"/>
  <c r="J547" i="3"/>
  <c r="I547" i="3"/>
  <c r="H546" i="3"/>
  <c r="J545" i="3"/>
  <c r="J546" i="3" s="1"/>
  <c r="I545" i="3"/>
  <c r="I546" i="3" s="1"/>
  <c r="H545" i="3"/>
  <c r="H547" i="3" s="1"/>
  <c r="G545" i="3"/>
  <c r="F545" i="3" s="1"/>
  <c r="J543" i="3"/>
  <c r="I543" i="3"/>
  <c r="H543" i="3"/>
  <c r="G543" i="3"/>
  <c r="J541" i="3"/>
  <c r="J542" i="3" s="1"/>
  <c r="I541" i="3"/>
  <c r="I542" i="3" s="1"/>
  <c r="H541" i="3"/>
  <c r="H542" i="3" s="1"/>
  <c r="G541" i="3"/>
  <c r="J539" i="3"/>
  <c r="I539" i="3"/>
  <c r="H539" i="3"/>
  <c r="G539" i="3"/>
  <c r="J538" i="3"/>
  <c r="I538" i="3"/>
  <c r="J537" i="3"/>
  <c r="J540" i="3" s="1"/>
  <c r="I537" i="3"/>
  <c r="I540" i="3" s="1"/>
  <c r="H537" i="3"/>
  <c r="H540" i="3" s="1"/>
  <c r="G537" i="3"/>
  <c r="G540" i="3" s="1"/>
  <c r="J535" i="3"/>
  <c r="I535" i="3"/>
  <c r="H535" i="3"/>
  <c r="G535" i="3"/>
  <c r="I534" i="3"/>
  <c r="J533" i="3"/>
  <c r="J536" i="3" s="1"/>
  <c r="I533" i="3"/>
  <c r="I536" i="3" s="1"/>
  <c r="H533" i="3"/>
  <c r="H536" i="3" s="1"/>
  <c r="G533" i="3"/>
  <c r="G536" i="3" s="1"/>
  <c r="M528" i="3"/>
  <c r="L528" i="3"/>
  <c r="G528" i="3"/>
  <c r="M527" i="3"/>
  <c r="M530" i="3" s="1"/>
  <c r="L527" i="3"/>
  <c r="L530" i="3" s="1"/>
  <c r="K527" i="3"/>
  <c r="K530" i="3" s="1"/>
  <c r="J527" i="3"/>
  <c r="J530" i="3" s="1"/>
  <c r="I527" i="3"/>
  <c r="I529" i="3" s="1"/>
  <c r="H527" i="3"/>
  <c r="H529" i="3" s="1"/>
  <c r="G527" i="3"/>
  <c r="G529" i="3" s="1"/>
  <c r="K526" i="3"/>
  <c r="J526" i="3"/>
  <c r="I526" i="3"/>
  <c r="H526" i="3"/>
  <c r="K525" i="3"/>
  <c r="J525" i="3"/>
  <c r="I525" i="3"/>
  <c r="H525" i="3"/>
  <c r="M522" i="3"/>
  <c r="L522" i="3"/>
  <c r="K522" i="3"/>
  <c r="K521" i="3"/>
  <c r="M520" i="3"/>
  <c r="M523" i="3" s="1"/>
  <c r="L520" i="3"/>
  <c r="L523" i="3" s="1"/>
  <c r="K520" i="3"/>
  <c r="K523" i="3" s="1"/>
  <c r="J520" i="3"/>
  <c r="J522" i="3" s="1"/>
  <c r="I520" i="3"/>
  <c r="I521" i="3" s="1"/>
  <c r="H520" i="3"/>
  <c r="H521" i="3" s="1"/>
  <c r="G520" i="3"/>
  <c r="G524" i="3" s="1"/>
  <c r="M518" i="3"/>
  <c r="L518" i="3"/>
  <c r="K518" i="3"/>
  <c r="L517" i="3"/>
  <c r="K517" i="3"/>
  <c r="J517" i="3"/>
  <c r="I517" i="3"/>
  <c r="H517" i="3"/>
  <c r="G517" i="3"/>
  <c r="M516" i="3"/>
  <c r="M524" i="3" s="1"/>
  <c r="L516" i="3"/>
  <c r="K516" i="3"/>
  <c r="K519" i="3" s="1"/>
  <c r="J516" i="3"/>
  <c r="J519" i="3" s="1"/>
  <c r="I516" i="3"/>
  <c r="I518" i="3" s="1"/>
  <c r="H516" i="3"/>
  <c r="H518" i="3" s="1"/>
  <c r="G516" i="3"/>
  <c r="G518" i="3" s="1"/>
  <c r="L514" i="3"/>
  <c r="K514" i="3"/>
  <c r="L513" i="3"/>
  <c r="M512" i="3"/>
  <c r="M513" i="3" s="1"/>
  <c r="L512" i="3"/>
  <c r="K512" i="3"/>
  <c r="K513" i="3" s="1"/>
  <c r="J512" i="3"/>
  <c r="J513" i="3" s="1"/>
  <c r="I512" i="3"/>
  <c r="I514" i="3" s="1"/>
  <c r="H512" i="3"/>
  <c r="H514" i="3" s="1"/>
  <c r="G512" i="3"/>
  <c r="G514" i="3" s="1"/>
  <c r="M511" i="3"/>
  <c r="L511" i="3"/>
  <c r="K511" i="3"/>
  <c r="J511" i="3"/>
  <c r="I511" i="3"/>
  <c r="H511" i="3"/>
  <c r="G511" i="3"/>
  <c r="M510" i="3"/>
  <c r="L510" i="3"/>
  <c r="K510" i="3"/>
  <c r="J510" i="3"/>
  <c r="I510" i="3"/>
  <c r="H510" i="3"/>
  <c r="G510" i="3"/>
  <c r="F509" i="3"/>
  <c r="I508" i="3"/>
  <c r="J506" i="3"/>
  <c r="I506" i="3"/>
  <c r="M504" i="3"/>
  <c r="M508" i="3" s="1"/>
  <c r="L504" i="3"/>
  <c r="L508" i="3" s="1"/>
  <c r="K504" i="3"/>
  <c r="K508" i="3" s="1"/>
  <c r="J504" i="3"/>
  <c r="J507" i="3" s="1"/>
  <c r="I504" i="3"/>
  <c r="I507" i="3" s="1"/>
  <c r="H504" i="3"/>
  <c r="H507" i="3" s="1"/>
  <c r="G504" i="3"/>
  <c r="G507" i="3" s="1"/>
  <c r="M501" i="3"/>
  <c r="M502" i="3" s="1"/>
  <c r="L501" i="3"/>
  <c r="L502" i="3" s="1"/>
  <c r="K501" i="3"/>
  <c r="K502" i="3" s="1"/>
  <c r="J501" i="3"/>
  <c r="J502" i="3" s="1"/>
  <c r="I501" i="3"/>
  <c r="I502" i="3" s="1"/>
  <c r="H501" i="3"/>
  <c r="H503" i="3" s="1"/>
  <c r="G501" i="3"/>
  <c r="M499" i="3"/>
  <c r="L499" i="3"/>
  <c r="K499" i="3"/>
  <c r="J499" i="3"/>
  <c r="I499" i="3"/>
  <c r="H499" i="3"/>
  <c r="G499" i="3"/>
  <c r="L498" i="3"/>
  <c r="K498" i="3"/>
  <c r="M497" i="3"/>
  <c r="M500" i="3" s="1"/>
  <c r="L497" i="3"/>
  <c r="L500" i="3" s="1"/>
  <c r="K497" i="3"/>
  <c r="K500" i="3" s="1"/>
  <c r="J497" i="3"/>
  <c r="J498" i="3" s="1"/>
  <c r="I497" i="3"/>
  <c r="I498" i="3" s="1"/>
  <c r="H497" i="3"/>
  <c r="H498" i="3" s="1"/>
  <c r="G497" i="3"/>
  <c r="M495" i="3"/>
  <c r="L495" i="3"/>
  <c r="K495" i="3"/>
  <c r="J495" i="3"/>
  <c r="I495" i="3"/>
  <c r="H495" i="3"/>
  <c r="G495" i="3"/>
  <c r="I494" i="3"/>
  <c r="H494" i="3"/>
  <c r="G494" i="3"/>
  <c r="M493" i="3"/>
  <c r="M496" i="3" s="1"/>
  <c r="L493" i="3"/>
  <c r="L496" i="3" s="1"/>
  <c r="K493" i="3"/>
  <c r="K496" i="3" s="1"/>
  <c r="J493" i="3"/>
  <c r="J496" i="3" s="1"/>
  <c r="I493" i="3"/>
  <c r="I496" i="3" s="1"/>
  <c r="H493" i="3"/>
  <c r="H496" i="3" s="1"/>
  <c r="G493" i="3"/>
  <c r="G496" i="3" s="1"/>
  <c r="I491" i="3"/>
  <c r="G491" i="3"/>
  <c r="I490" i="3"/>
  <c r="H490" i="3"/>
  <c r="G490" i="3"/>
  <c r="M489" i="3"/>
  <c r="M490" i="3" s="1"/>
  <c r="L489" i="3"/>
  <c r="L490" i="3" s="1"/>
  <c r="K489" i="3"/>
  <c r="K490" i="3" s="1"/>
  <c r="J489" i="3"/>
  <c r="J492" i="3" s="1"/>
  <c r="I489" i="3"/>
  <c r="I492" i="3" s="1"/>
  <c r="H489" i="3"/>
  <c r="H492" i="3" s="1"/>
  <c r="G489" i="3"/>
  <c r="G492" i="3" s="1"/>
  <c r="L485" i="3"/>
  <c r="K485" i="3"/>
  <c r="G485" i="3"/>
  <c r="G484" i="3"/>
  <c r="M483" i="3"/>
  <c r="M486" i="3" s="1"/>
  <c r="L483" i="3"/>
  <c r="L486" i="3" s="1"/>
  <c r="K483" i="3"/>
  <c r="K486" i="3" s="1"/>
  <c r="J483" i="3"/>
  <c r="J486" i="3" s="1"/>
  <c r="I483" i="3"/>
  <c r="I485" i="3" s="1"/>
  <c r="H483" i="3"/>
  <c r="H485" i="3" s="1"/>
  <c r="G483" i="3"/>
  <c r="G486" i="3" s="1"/>
  <c r="K482" i="3"/>
  <c r="J482" i="3"/>
  <c r="I482" i="3"/>
  <c r="H482" i="3"/>
  <c r="K481" i="3"/>
  <c r="J481" i="3"/>
  <c r="I481" i="3"/>
  <c r="H481" i="3"/>
  <c r="M478" i="3"/>
  <c r="L478" i="3"/>
  <c r="K478" i="3"/>
  <c r="M477" i="3"/>
  <c r="J477" i="3"/>
  <c r="M476" i="3"/>
  <c r="M479" i="3" s="1"/>
  <c r="L476" i="3"/>
  <c r="L479" i="3" s="1"/>
  <c r="K476" i="3"/>
  <c r="K479" i="3" s="1"/>
  <c r="J476" i="3"/>
  <c r="J478" i="3" s="1"/>
  <c r="I476" i="3"/>
  <c r="I477" i="3" s="1"/>
  <c r="H476" i="3"/>
  <c r="H477" i="3" s="1"/>
  <c r="G476" i="3"/>
  <c r="G480" i="3" s="1"/>
  <c r="M474" i="3"/>
  <c r="L474" i="3"/>
  <c r="K474" i="3"/>
  <c r="J474" i="3"/>
  <c r="J473" i="3"/>
  <c r="I473" i="3"/>
  <c r="H473" i="3"/>
  <c r="G473" i="3"/>
  <c r="M472" i="3"/>
  <c r="M480" i="3" s="1"/>
  <c r="L472" i="3"/>
  <c r="L480" i="3" s="1"/>
  <c r="K472" i="3"/>
  <c r="K475" i="3" s="1"/>
  <c r="J472" i="3"/>
  <c r="J475" i="3" s="1"/>
  <c r="I472" i="3"/>
  <c r="I474" i="3" s="1"/>
  <c r="H472" i="3"/>
  <c r="H474" i="3" s="1"/>
  <c r="G472" i="3"/>
  <c r="G475" i="3" s="1"/>
  <c r="L470" i="3"/>
  <c r="J470" i="3"/>
  <c r="L469" i="3"/>
  <c r="J469" i="3"/>
  <c r="M468" i="3"/>
  <c r="M469" i="3" s="1"/>
  <c r="L468" i="3"/>
  <c r="K468" i="3"/>
  <c r="K469" i="3" s="1"/>
  <c r="J468" i="3"/>
  <c r="I468" i="3"/>
  <c r="I470" i="3" s="1"/>
  <c r="H468" i="3"/>
  <c r="H470" i="3" s="1"/>
  <c r="G468" i="3"/>
  <c r="G470" i="3" s="1"/>
  <c r="M467" i="3"/>
  <c r="L467" i="3"/>
  <c r="K467" i="3"/>
  <c r="J467" i="3"/>
  <c r="I467" i="3"/>
  <c r="H467" i="3"/>
  <c r="G467" i="3"/>
  <c r="M466" i="3"/>
  <c r="L466" i="3"/>
  <c r="K466" i="3"/>
  <c r="J466" i="3"/>
  <c r="I466" i="3"/>
  <c r="H466" i="3"/>
  <c r="G466" i="3"/>
  <c r="F465" i="3"/>
  <c r="G464" i="3"/>
  <c r="I462" i="3"/>
  <c r="H462" i="3"/>
  <c r="G462" i="3"/>
  <c r="I461" i="3"/>
  <c r="G461" i="3"/>
  <c r="M460" i="3"/>
  <c r="M464" i="3" s="1"/>
  <c r="L460" i="3"/>
  <c r="L464" i="3" s="1"/>
  <c r="K460" i="3"/>
  <c r="K464" i="3" s="1"/>
  <c r="J460" i="3"/>
  <c r="J463" i="3" s="1"/>
  <c r="I460" i="3"/>
  <c r="I463" i="3" s="1"/>
  <c r="H460" i="3"/>
  <c r="H463" i="3" s="1"/>
  <c r="G460" i="3"/>
  <c r="G463" i="3" s="1"/>
  <c r="H459" i="3"/>
  <c r="G459" i="3"/>
  <c r="I458" i="3"/>
  <c r="G458" i="3"/>
  <c r="M457" i="3"/>
  <c r="M458" i="3" s="1"/>
  <c r="L457" i="3"/>
  <c r="L458" i="3" s="1"/>
  <c r="K457" i="3"/>
  <c r="K458" i="3" s="1"/>
  <c r="J457" i="3"/>
  <c r="J458" i="3" s="1"/>
  <c r="I457" i="3"/>
  <c r="I459" i="3" s="1"/>
  <c r="H457" i="3"/>
  <c r="H458" i="3" s="1"/>
  <c r="G457" i="3"/>
  <c r="M455" i="3"/>
  <c r="L455" i="3"/>
  <c r="K455" i="3"/>
  <c r="J455" i="3"/>
  <c r="I455" i="3"/>
  <c r="H455" i="3"/>
  <c r="G455" i="3"/>
  <c r="L454" i="3"/>
  <c r="M453" i="3"/>
  <c r="M456" i="3" s="1"/>
  <c r="L453" i="3"/>
  <c r="L456" i="3" s="1"/>
  <c r="K453" i="3"/>
  <c r="K456" i="3" s="1"/>
  <c r="J453" i="3"/>
  <c r="J454" i="3" s="1"/>
  <c r="I453" i="3"/>
  <c r="I454" i="3" s="1"/>
  <c r="H453" i="3"/>
  <c r="H454" i="3" s="1"/>
  <c r="G453" i="3"/>
  <c r="M451" i="3"/>
  <c r="L451" i="3"/>
  <c r="K451" i="3"/>
  <c r="J451" i="3"/>
  <c r="I451" i="3"/>
  <c r="H451" i="3"/>
  <c r="G451" i="3"/>
  <c r="M450" i="3"/>
  <c r="J450" i="3"/>
  <c r="I450" i="3"/>
  <c r="H450" i="3"/>
  <c r="G450" i="3"/>
  <c r="M449" i="3"/>
  <c r="M452" i="3" s="1"/>
  <c r="L449" i="3"/>
  <c r="L452" i="3" s="1"/>
  <c r="K449" i="3"/>
  <c r="K452" i="3" s="1"/>
  <c r="J449" i="3"/>
  <c r="J452" i="3" s="1"/>
  <c r="I449" i="3"/>
  <c r="I452" i="3" s="1"/>
  <c r="H449" i="3"/>
  <c r="H452" i="3" s="1"/>
  <c r="G449" i="3"/>
  <c r="G452" i="3" s="1"/>
  <c r="I447" i="3"/>
  <c r="H447" i="3"/>
  <c r="G447" i="3"/>
  <c r="I446" i="3"/>
  <c r="G446" i="3"/>
  <c r="M445" i="3"/>
  <c r="M446" i="3" s="1"/>
  <c r="L445" i="3"/>
  <c r="L446" i="3" s="1"/>
  <c r="K445" i="3"/>
  <c r="K446" i="3" s="1"/>
  <c r="J445" i="3"/>
  <c r="J448" i="3" s="1"/>
  <c r="I445" i="3"/>
  <c r="I448" i="3" s="1"/>
  <c r="H445" i="3"/>
  <c r="H448" i="3" s="1"/>
  <c r="G445" i="3"/>
  <c r="G448" i="3" s="1"/>
  <c r="L441" i="3"/>
  <c r="K440" i="3"/>
  <c r="I440" i="3"/>
  <c r="H440" i="3"/>
  <c r="M439" i="3"/>
  <c r="M442" i="3" s="1"/>
  <c r="L439" i="3"/>
  <c r="L442" i="3" s="1"/>
  <c r="K439" i="3"/>
  <c r="K442" i="3" s="1"/>
  <c r="J439" i="3"/>
  <c r="J442" i="3" s="1"/>
  <c r="I439" i="3"/>
  <c r="I441" i="3" s="1"/>
  <c r="H439" i="3"/>
  <c r="H441" i="3" s="1"/>
  <c r="G439" i="3"/>
  <c r="G441" i="3" s="1"/>
  <c r="K438" i="3"/>
  <c r="J438" i="3"/>
  <c r="I438" i="3"/>
  <c r="H438" i="3"/>
  <c r="K437" i="3"/>
  <c r="J437" i="3"/>
  <c r="I437" i="3"/>
  <c r="H437" i="3"/>
  <c r="M434" i="3"/>
  <c r="L434" i="3"/>
  <c r="K434" i="3"/>
  <c r="M433" i="3"/>
  <c r="L433" i="3"/>
  <c r="M432" i="3"/>
  <c r="M435" i="3" s="1"/>
  <c r="L432" i="3"/>
  <c r="L435" i="3" s="1"/>
  <c r="K432" i="3"/>
  <c r="K435" i="3" s="1"/>
  <c r="J432" i="3"/>
  <c r="J434" i="3" s="1"/>
  <c r="I432" i="3"/>
  <c r="I433" i="3" s="1"/>
  <c r="H432" i="3"/>
  <c r="H433" i="3" s="1"/>
  <c r="G432" i="3"/>
  <c r="F432" i="3" s="1"/>
  <c r="M430" i="3"/>
  <c r="L430" i="3"/>
  <c r="K430" i="3"/>
  <c r="L429" i="3"/>
  <c r="J429" i="3"/>
  <c r="I429" i="3"/>
  <c r="H429" i="3"/>
  <c r="G429" i="3"/>
  <c r="M428" i="3"/>
  <c r="M436" i="3" s="1"/>
  <c r="L428" i="3"/>
  <c r="L436" i="3" s="1"/>
  <c r="K428" i="3"/>
  <c r="K431" i="3" s="1"/>
  <c r="J428" i="3"/>
  <c r="J431" i="3" s="1"/>
  <c r="I428" i="3"/>
  <c r="I430" i="3" s="1"/>
  <c r="H428" i="3"/>
  <c r="H430" i="3" s="1"/>
  <c r="G428" i="3"/>
  <c r="G430" i="3" s="1"/>
  <c r="K426" i="3"/>
  <c r="M425" i="3"/>
  <c r="J425" i="3"/>
  <c r="H425" i="3"/>
  <c r="G425" i="3"/>
  <c r="M424" i="3"/>
  <c r="M426" i="3" s="1"/>
  <c r="L424" i="3"/>
  <c r="L425" i="3" s="1"/>
  <c r="K424" i="3"/>
  <c r="K425" i="3" s="1"/>
  <c r="J424" i="3"/>
  <c r="J426" i="3" s="1"/>
  <c r="I424" i="3"/>
  <c r="I426" i="3" s="1"/>
  <c r="H424" i="3"/>
  <c r="H426" i="3" s="1"/>
  <c r="G424" i="3"/>
  <c r="G426" i="3" s="1"/>
  <c r="M423" i="3"/>
  <c r="L423" i="3"/>
  <c r="K423" i="3"/>
  <c r="J423" i="3"/>
  <c r="I423" i="3"/>
  <c r="H423" i="3"/>
  <c r="G423" i="3"/>
  <c r="M422" i="3"/>
  <c r="L422" i="3"/>
  <c r="K422" i="3"/>
  <c r="J422" i="3"/>
  <c r="I422" i="3"/>
  <c r="H422" i="3"/>
  <c r="G422" i="3"/>
  <c r="F421" i="3"/>
  <c r="G420" i="3"/>
  <c r="J418" i="3"/>
  <c r="M416" i="3"/>
  <c r="M420" i="3" s="1"/>
  <c r="L416" i="3"/>
  <c r="L420" i="3" s="1"/>
  <c r="K416" i="3"/>
  <c r="K420" i="3" s="1"/>
  <c r="J416" i="3"/>
  <c r="J419" i="3" s="1"/>
  <c r="I416" i="3"/>
  <c r="I419" i="3" s="1"/>
  <c r="H416" i="3"/>
  <c r="H419" i="3" s="1"/>
  <c r="G416" i="3"/>
  <c r="G419" i="3" s="1"/>
  <c r="G415" i="3"/>
  <c r="M413" i="3"/>
  <c r="M414" i="3" s="1"/>
  <c r="L413" i="3"/>
  <c r="L414" i="3" s="1"/>
  <c r="K413" i="3"/>
  <c r="K414" i="3" s="1"/>
  <c r="J413" i="3"/>
  <c r="J414" i="3" s="1"/>
  <c r="I413" i="3"/>
  <c r="I415" i="3" s="1"/>
  <c r="H413" i="3"/>
  <c r="H415" i="3" s="1"/>
  <c r="G413" i="3"/>
  <c r="G414" i="3" s="1"/>
  <c r="M411" i="3"/>
  <c r="L411" i="3"/>
  <c r="K411" i="3"/>
  <c r="J411" i="3"/>
  <c r="I411" i="3"/>
  <c r="H411" i="3"/>
  <c r="G411" i="3"/>
  <c r="M410" i="3"/>
  <c r="L410" i="3"/>
  <c r="K410" i="3"/>
  <c r="M409" i="3"/>
  <c r="M412" i="3" s="1"/>
  <c r="L409" i="3"/>
  <c r="L412" i="3" s="1"/>
  <c r="K409" i="3"/>
  <c r="K412" i="3" s="1"/>
  <c r="J409" i="3"/>
  <c r="J410" i="3" s="1"/>
  <c r="I409" i="3"/>
  <c r="I410" i="3" s="1"/>
  <c r="H409" i="3"/>
  <c r="H410" i="3" s="1"/>
  <c r="G409" i="3"/>
  <c r="M407" i="3"/>
  <c r="L407" i="3"/>
  <c r="K407" i="3"/>
  <c r="J407" i="3"/>
  <c r="I407" i="3"/>
  <c r="H407" i="3"/>
  <c r="G407" i="3"/>
  <c r="I406" i="3"/>
  <c r="G406" i="3"/>
  <c r="M405" i="3"/>
  <c r="M408" i="3" s="1"/>
  <c r="L405" i="3"/>
  <c r="L408" i="3" s="1"/>
  <c r="K405" i="3"/>
  <c r="K408" i="3" s="1"/>
  <c r="J405" i="3"/>
  <c r="J408" i="3" s="1"/>
  <c r="I405" i="3"/>
  <c r="I408" i="3" s="1"/>
  <c r="H405" i="3"/>
  <c r="H408" i="3" s="1"/>
  <c r="G405" i="3"/>
  <c r="G408" i="3" s="1"/>
  <c r="G403" i="3"/>
  <c r="I402" i="3"/>
  <c r="H402" i="3"/>
  <c r="G402" i="3"/>
  <c r="M401" i="3"/>
  <c r="M402" i="3" s="1"/>
  <c r="L401" i="3"/>
  <c r="L402" i="3" s="1"/>
  <c r="K401" i="3"/>
  <c r="K404" i="3" s="1"/>
  <c r="J401" i="3"/>
  <c r="J404" i="3" s="1"/>
  <c r="I401" i="3"/>
  <c r="I404" i="3" s="1"/>
  <c r="H401" i="3"/>
  <c r="H404" i="3" s="1"/>
  <c r="G401" i="3"/>
  <c r="G404" i="3" s="1"/>
  <c r="M396" i="3"/>
  <c r="J396" i="3"/>
  <c r="H396" i="3"/>
  <c r="G396" i="3"/>
  <c r="M395" i="3"/>
  <c r="M398" i="3" s="1"/>
  <c r="L395" i="3"/>
  <c r="L398" i="3" s="1"/>
  <c r="K395" i="3"/>
  <c r="K398" i="3" s="1"/>
  <c r="J395" i="3"/>
  <c r="J398" i="3" s="1"/>
  <c r="I395" i="3"/>
  <c r="I397" i="3" s="1"/>
  <c r="H395" i="3"/>
  <c r="H397" i="3" s="1"/>
  <c r="G395" i="3"/>
  <c r="G397" i="3" s="1"/>
  <c r="K394" i="3"/>
  <c r="J394" i="3"/>
  <c r="I394" i="3"/>
  <c r="H394" i="3"/>
  <c r="K393" i="3"/>
  <c r="J393" i="3"/>
  <c r="I393" i="3"/>
  <c r="H393" i="3"/>
  <c r="M390" i="3"/>
  <c r="L390" i="3"/>
  <c r="K390" i="3"/>
  <c r="L389" i="3"/>
  <c r="K389" i="3"/>
  <c r="M388" i="3"/>
  <c r="M391" i="3" s="1"/>
  <c r="L388" i="3"/>
  <c r="L391" i="3" s="1"/>
  <c r="K388" i="3"/>
  <c r="K391" i="3" s="1"/>
  <c r="J388" i="3"/>
  <c r="J390" i="3" s="1"/>
  <c r="I388" i="3"/>
  <c r="I389" i="3" s="1"/>
  <c r="H388" i="3"/>
  <c r="H389" i="3" s="1"/>
  <c r="G388" i="3"/>
  <c r="G392" i="3" s="1"/>
  <c r="M386" i="3"/>
  <c r="L386" i="3"/>
  <c r="K386" i="3"/>
  <c r="M385" i="3"/>
  <c r="J385" i="3"/>
  <c r="I385" i="3"/>
  <c r="H385" i="3"/>
  <c r="G385" i="3"/>
  <c r="M384" i="3"/>
  <c r="M392" i="3" s="1"/>
  <c r="L384" i="3"/>
  <c r="L392" i="3" s="1"/>
  <c r="K384" i="3"/>
  <c r="K387" i="3" s="1"/>
  <c r="J384" i="3"/>
  <c r="J387" i="3" s="1"/>
  <c r="I384" i="3"/>
  <c r="I386" i="3" s="1"/>
  <c r="H384" i="3"/>
  <c r="H386" i="3" s="1"/>
  <c r="G384" i="3"/>
  <c r="G386" i="3" s="1"/>
  <c r="L382" i="3"/>
  <c r="K381" i="3"/>
  <c r="I381" i="3"/>
  <c r="H381" i="3"/>
  <c r="M380" i="3"/>
  <c r="M381" i="3" s="1"/>
  <c r="L380" i="3"/>
  <c r="L381" i="3" s="1"/>
  <c r="K380" i="3"/>
  <c r="K382" i="3" s="1"/>
  <c r="J380" i="3"/>
  <c r="J381" i="3" s="1"/>
  <c r="I380" i="3"/>
  <c r="I382" i="3" s="1"/>
  <c r="H380" i="3"/>
  <c r="H382" i="3" s="1"/>
  <c r="G380" i="3"/>
  <c r="G382" i="3" s="1"/>
  <c r="M379" i="3"/>
  <c r="L379" i="3"/>
  <c r="K379" i="3"/>
  <c r="J379" i="3"/>
  <c r="I379" i="3"/>
  <c r="H379" i="3"/>
  <c r="G379" i="3"/>
  <c r="M378" i="3"/>
  <c r="L378" i="3"/>
  <c r="K378" i="3"/>
  <c r="J378" i="3"/>
  <c r="I378" i="3"/>
  <c r="H378" i="3"/>
  <c r="G378" i="3"/>
  <c r="F377" i="3"/>
  <c r="H376" i="3"/>
  <c r="G376" i="3"/>
  <c r="J374" i="3"/>
  <c r="G374" i="3"/>
  <c r="G373" i="3"/>
  <c r="M372" i="3"/>
  <c r="M375" i="3" s="1"/>
  <c r="L372" i="3"/>
  <c r="L376" i="3" s="1"/>
  <c r="K372" i="3"/>
  <c r="K375" i="3" s="1"/>
  <c r="J372" i="3"/>
  <c r="J375" i="3" s="1"/>
  <c r="I372" i="3"/>
  <c r="I375" i="3" s="1"/>
  <c r="H372" i="3"/>
  <c r="H375" i="3" s="1"/>
  <c r="G372" i="3"/>
  <c r="G375" i="3" s="1"/>
  <c r="J371" i="3"/>
  <c r="H371" i="3"/>
  <c r="J370" i="3"/>
  <c r="H370" i="3"/>
  <c r="G370" i="3"/>
  <c r="M369" i="3"/>
  <c r="M370" i="3" s="1"/>
  <c r="L369" i="3"/>
  <c r="L370" i="3" s="1"/>
  <c r="K369" i="3"/>
  <c r="K370" i="3" s="1"/>
  <c r="J369" i="3"/>
  <c r="I369" i="3"/>
  <c r="I371" i="3" s="1"/>
  <c r="H369" i="3"/>
  <c r="G369" i="3"/>
  <c r="G371" i="3" s="1"/>
  <c r="M367" i="3"/>
  <c r="L367" i="3"/>
  <c r="K367" i="3"/>
  <c r="J367" i="3"/>
  <c r="I367" i="3"/>
  <c r="H367" i="3"/>
  <c r="G367" i="3"/>
  <c r="L366" i="3"/>
  <c r="M365" i="3"/>
  <c r="M368" i="3" s="1"/>
  <c r="L365" i="3"/>
  <c r="L368" i="3" s="1"/>
  <c r="K365" i="3"/>
  <c r="K368" i="3" s="1"/>
  <c r="J365" i="3"/>
  <c r="J366" i="3" s="1"/>
  <c r="I365" i="3"/>
  <c r="I366" i="3" s="1"/>
  <c r="H365" i="3"/>
  <c r="H366" i="3" s="1"/>
  <c r="G365" i="3"/>
  <c r="M363" i="3"/>
  <c r="L363" i="3"/>
  <c r="K363" i="3"/>
  <c r="J363" i="3"/>
  <c r="I363" i="3"/>
  <c r="H363" i="3"/>
  <c r="G363" i="3"/>
  <c r="M362" i="3"/>
  <c r="K362" i="3"/>
  <c r="J362" i="3"/>
  <c r="I362" i="3"/>
  <c r="H362" i="3"/>
  <c r="G362" i="3"/>
  <c r="M361" i="3"/>
  <c r="M364" i="3" s="1"/>
  <c r="L361" i="3"/>
  <c r="L364" i="3" s="1"/>
  <c r="K361" i="3"/>
  <c r="K364" i="3" s="1"/>
  <c r="J361" i="3"/>
  <c r="J364" i="3" s="1"/>
  <c r="I361" i="3"/>
  <c r="I364" i="3" s="1"/>
  <c r="H361" i="3"/>
  <c r="H364" i="3" s="1"/>
  <c r="G361" i="3"/>
  <c r="G364" i="3" s="1"/>
  <c r="F361" i="3"/>
  <c r="J359" i="3"/>
  <c r="H359" i="3"/>
  <c r="M357" i="3"/>
  <c r="M358" i="3" s="1"/>
  <c r="L357" i="3"/>
  <c r="L358" i="3" s="1"/>
  <c r="K357" i="3"/>
  <c r="K360" i="3" s="1"/>
  <c r="J357" i="3"/>
  <c r="J360" i="3" s="1"/>
  <c r="I357" i="3"/>
  <c r="I360" i="3" s="1"/>
  <c r="H357" i="3"/>
  <c r="H360" i="3" s="1"/>
  <c r="G357" i="3"/>
  <c r="G360" i="3" s="1"/>
  <c r="M352" i="3"/>
  <c r="L352" i="3"/>
  <c r="I352" i="3"/>
  <c r="H352" i="3"/>
  <c r="M351" i="3"/>
  <c r="M354" i="3" s="1"/>
  <c r="L351" i="3"/>
  <c r="L354" i="3" s="1"/>
  <c r="K351" i="3"/>
  <c r="K354" i="3" s="1"/>
  <c r="J351" i="3"/>
  <c r="J354" i="3" s="1"/>
  <c r="I351" i="3"/>
  <c r="I353" i="3" s="1"/>
  <c r="H351" i="3"/>
  <c r="H353" i="3" s="1"/>
  <c r="G351" i="3"/>
  <c r="G353" i="3" s="1"/>
  <c r="K350" i="3"/>
  <c r="J350" i="3"/>
  <c r="I350" i="3"/>
  <c r="H350" i="3"/>
  <c r="K349" i="3"/>
  <c r="J349" i="3"/>
  <c r="I349" i="3"/>
  <c r="H349" i="3"/>
  <c r="M346" i="3"/>
  <c r="L346" i="3"/>
  <c r="K346" i="3"/>
  <c r="L345" i="3"/>
  <c r="K345" i="3"/>
  <c r="M344" i="3"/>
  <c r="M347" i="3" s="1"/>
  <c r="L344" i="3"/>
  <c r="L347" i="3" s="1"/>
  <c r="K344" i="3"/>
  <c r="K347" i="3" s="1"/>
  <c r="J344" i="3"/>
  <c r="J346" i="3" s="1"/>
  <c r="I344" i="3"/>
  <c r="I345" i="3" s="1"/>
  <c r="H344" i="3"/>
  <c r="H345" i="3" s="1"/>
  <c r="G344" i="3"/>
  <c r="M342" i="3"/>
  <c r="L342" i="3"/>
  <c r="K342" i="3"/>
  <c r="M341" i="3"/>
  <c r="J341" i="3"/>
  <c r="H341" i="3"/>
  <c r="M340" i="3"/>
  <c r="L340" i="3"/>
  <c r="L348" i="3" s="1"/>
  <c r="K340" i="3"/>
  <c r="K343" i="3" s="1"/>
  <c r="J340" i="3"/>
  <c r="J343" i="3" s="1"/>
  <c r="I340" i="3"/>
  <c r="I342" i="3" s="1"/>
  <c r="H340" i="3"/>
  <c r="H342" i="3" s="1"/>
  <c r="G340" i="3"/>
  <c r="G342" i="3" s="1"/>
  <c r="M337" i="3"/>
  <c r="L337" i="3"/>
  <c r="K337" i="3"/>
  <c r="I337" i="3"/>
  <c r="M336" i="3"/>
  <c r="M338" i="3" s="1"/>
  <c r="L336" i="3"/>
  <c r="L338" i="3" s="1"/>
  <c r="K336" i="3"/>
  <c r="K338" i="3" s="1"/>
  <c r="J336" i="3"/>
  <c r="J338" i="3" s="1"/>
  <c r="I336" i="3"/>
  <c r="I338" i="3" s="1"/>
  <c r="H336" i="3"/>
  <c r="H338" i="3" s="1"/>
  <c r="G336" i="3"/>
  <c r="G338" i="3" s="1"/>
  <c r="M335" i="3"/>
  <c r="L335" i="3"/>
  <c r="K335" i="3"/>
  <c r="J335" i="3"/>
  <c r="I335" i="3"/>
  <c r="H335" i="3"/>
  <c r="G335" i="3"/>
  <c r="M334" i="3"/>
  <c r="L334" i="3"/>
  <c r="K334" i="3"/>
  <c r="J334" i="3"/>
  <c r="I334" i="3"/>
  <c r="H334" i="3"/>
  <c r="G334" i="3"/>
  <c r="F333" i="3"/>
  <c r="J330" i="3"/>
  <c r="I330" i="3"/>
  <c r="H330" i="3"/>
  <c r="J329" i="3"/>
  <c r="M328" i="3"/>
  <c r="M332" i="3" s="1"/>
  <c r="L328" i="3"/>
  <c r="L332" i="3" s="1"/>
  <c r="K328" i="3"/>
  <c r="K332" i="3" s="1"/>
  <c r="J328" i="3"/>
  <c r="J331" i="3" s="1"/>
  <c r="I328" i="3"/>
  <c r="I331" i="3" s="1"/>
  <c r="H328" i="3"/>
  <c r="H331" i="3" s="1"/>
  <c r="G328" i="3"/>
  <c r="G331" i="3" s="1"/>
  <c r="I327" i="3"/>
  <c r="M325" i="3"/>
  <c r="M326" i="3" s="1"/>
  <c r="L325" i="3"/>
  <c r="L326" i="3" s="1"/>
  <c r="K325" i="3"/>
  <c r="K326" i="3" s="1"/>
  <c r="J325" i="3"/>
  <c r="J326" i="3" s="1"/>
  <c r="I325" i="3"/>
  <c r="I326" i="3" s="1"/>
  <c r="H325" i="3"/>
  <c r="H327" i="3" s="1"/>
  <c r="G325" i="3"/>
  <c r="G327" i="3" s="1"/>
  <c r="M323" i="3"/>
  <c r="L323" i="3"/>
  <c r="K323" i="3"/>
  <c r="J323" i="3"/>
  <c r="I323" i="3"/>
  <c r="H323" i="3"/>
  <c r="G323" i="3"/>
  <c r="M322" i="3"/>
  <c r="K322" i="3"/>
  <c r="M321" i="3"/>
  <c r="M324" i="3" s="1"/>
  <c r="L321" i="3"/>
  <c r="L324" i="3" s="1"/>
  <c r="K321" i="3"/>
  <c r="K324" i="3" s="1"/>
  <c r="J321" i="3"/>
  <c r="J322" i="3" s="1"/>
  <c r="I321" i="3"/>
  <c r="I322" i="3" s="1"/>
  <c r="H321" i="3"/>
  <c r="H324" i="3" s="1"/>
  <c r="G321" i="3"/>
  <c r="M319" i="3"/>
  <c r="L319" i="3"/>
  <c r="K319" i="3"/>
  <c r="J319" i="3"/>
  <c r="I319" i="3"/>
  <c r="H319" i="3"/>
  <c r="G319" i="3"/>
  <c r="G318" i="3"/>
  <c r="M317" i="3"/>
  <c r="M320" i="3" s="1"/>
  <c r="L317" i="3"/>
  <c r="L320" i="3" s="1"/>
  <c r="K317" i="3"/>
  <c r="K320" i="3" s="1"/>
  <c r="J317" i="3"/>
  <c r="J320" i="3" s="1"/>
  <c r="I317" i="3"/>
  <c r="I320" i="3" s="1"/>
  <c r="H317" i="3"/>
  <c r="H320" i="3" s="1"/>
  <c r="G317" i="3"/>
  <c r="G320" i="3" s="1"/>
  <c r="I315" i="3"/>
  <c r="G315" i="3"/>
  <c r="J314" i="3"/>
  <c r="I314" i="3"/>
  <c r="H314" i="3"/>
  <c r="M313" i="3"/>
  <c r="M314" i="3" s="1"/>
  <c r="L313" i="3"/>
  <c r="L314" i="3" s="1"/>
  <c r="K313" i="3"/>
  <c r="K314" i="3" s="1"/>
  <c r="J313" i="3"/>
  <c r="J316" i="3" s="1"/>
  <c r="I313" i="3"/>
  <c r="I316" i="3" s="1"/>
  <c r="H313" i="3"/>
  <c r="H316" i="3" s="1"/>
  <c r="G313" i="3"/>
  <c r="G316" i="3" s="1"/>
  <c r="M309" i="3"/>
  <c r="L309" i="3"/>
  <c r="J309" i="3"/>
  <c r="M307" i="3"/>
  <c r="M310" i="3" s="1"/>
  <c r="L307" i="3"/>
  <c r="L310" i="3" s="1"/>
  <c r="K307" i="3"/>
  <c r="K310" i="3" s="1"/>
  <c r="J307" i="3"/>
  <c r="J310" i="3" s="1"/>
  <c r="I307" i="3"/>
  <c r="I309" i="3" s="1"/>
  <c r="H307" i="3"/>
  <c r="H309" i="3" s="1"/>
  <c r="G307" i="3"/>
  <c r="G309" i="3" s="1"/>
  <c r="K306" i="3"/>
  <c r="J306" i="3"/>
  <c r="I306" i="3"/>
  <c r="H306" i="3"/>
  <c r="K305" i="3"/>
  <c r="J305" i="3"/>
  <c r="I305" i="3"/>
  <c r="H305" i="3"/>
  <c r="M302" i="3"/>
  <c r="L302" i="3"/>
  <c r="K302" i="3"/>
  <c r="L301" i="3"/>
  <c r="K301" i="3"/>
  <c r="M300" i="3"/>
  <c r="M303" i="3" s="1"/>
  <c r="L300" i="3"/>
  <c r="L303" i="3" s="1"/>
  <c r="K300" i="3"/>
  <c r="K303" i="3" s="1"/>
  <c r="J300" i="3"/>
  <c r="J302" i="3" s="1"/>
  <c r="I300" i="3"/>
  <c r="I301" i="3" s="1"/>
  <c r="H300" i="3"/>
  <c r="H301" i="3" s="1"/>
  <c r="G300" i="3"/>
  <c r="F300" i="3"/>
  <c r="M298" i="3"/>
  <c r="L298" i="3"/>
  <c r="K298" i="3"/>
  <c r="H297" i="3"/>
  <c r="G297" i="3"/>
  <c r="M296" i="3"/>
  <c r="M304" i="3" s="1"/>
  <c r="L296" i="3"/>
  <c r="L304" i="3" s="1"/>
  <c r="K296" i="3"/>
  <c r="K299" i="3" s="1"/>
  <c r="J296" i="3"/>
  <c r="J299" i="3" s="1"/>
  <c r="I296" i="3"/>
  <c r="I298" i="3" s="1"/>
  <c r="H296" i="3"/>
  <c r="H298" i="3" s="1"/>
  <c r="G296" i="3"/>
  <c r="G298" i="3" s="1"/>
  <c r="K294" i="3"/>
  <c r="J294" i="3"/>
  <c r="M293" i="3"/>
  <c r="L293" i="3"/>
  <c r="K293" i="3"/>
  <c r="J293" i="3"/>
  <c r="M292" i="3"/>
  <c r="M294" i="3" s="1"/>
  <c r="L292" i="3"/>
  <c r="L294" i="3" s="1"/>
  <c r="K292" i="3"/>
  <c r="J292" i="3"/>
  <c r="I292" i="3"/>
  <c r="I294" i="3" s="1"/>
  <c r="H292" i="3"/>
  <c r="H294" i="3" s="1"/>
  <c r="G292" i="3"/>
  <c r="G294" i="3" s="1"/>
  <c r="M291" i="3"/>
  <c r="L291" i="3"/>
  <c r="K291" i="3"/>
  <c r="J291" i="3"/>
  <c r="I291" i="3"/>
  <c r="H291" i="3"/>
  <c r="G291" i="3"/>
  <c r="M290" i="3"/>
  <c r="L290" i="3"/>
  <c r="K290" i="3"/>
  <c r="J290" i="3"/>
  <c r="I290" i="3"/>
  <c r="H290" i="3"/>
  <c r="G290" i="3"/>
  <c r="F289" i="3"/>
  <c r="J288" i="3"/>
  <c r="J286" i="3"/>
  <c r="I286" i="3"/>
  <c r="H286" i="3"/>
  <c r="G286" i="3"/>
  <c r="J285" i="3"/>
  <c r="I285" i="3"/>
  <c r="M284" i="3"/>
  <c r="M288" i="3" s="1"/>
  <c r="L284" i="3"/>
  <c r="L288" i="3" s="1"/>
  <c r="K284" i="3"/>
  <c r="J284" i="3"/>
  <c r="J287" i="3" s="1"/>
  <c r="I284" i="3"/>
  <c r="I287" i="3" s="1"/>
  <c r="H284" i="3"/>
  <c r="H287" i="3" s="1"/>
  <c r="G284" i="3"/>
  <c r="G287" i="3" s="1"/>
  <c r="J283" i="3"/>
  <c r="H283" i="3"/>
  <c r="M281" i="3"/>
  <c r="M282" i="3" s="1"/>
  <c r="L281" i="3"/>
  <c r="L282" i="3" s="1"/>
  <c r="K281" i="3"/>
  <c r="J281" i="3"/>
  <c r="J282" i="3" s="1"/>
  <c r="I281" i="3"/>
  <c r="I282" i="3" s="1"/>
  <c r="H281" i="3"/>
  <c r="H282" i="3" s="1"/>
  <c r="G281" i="3"/>
  <c r="G283" i="3" s="1"/>
  <c r="M279" i="3"/>
  <c r="L279" i="3"/>
  <c r="K279" i="3"/>
  <c r="J279" i="3"/>
  <c r="I279" i="3"/>
  <c r="H279" i="3"/>
  <c r="G279" i="3"/>
  <c r="M278" i="3"/>
  <c r="K278" i="3"/>
  <c r="M277" i="3"/>
  <c r="M280" i="3" s="1"/>
  <c r="L277" i="3"/>
  <c r="L280" i="3" s="1"/>
  <c r="K277" i="3"/>
  <c r="K280" i="3" s="1"/>
  <c r="J277" i="3"/>
  <c r="J278" i="3" s="1"/>
  <c r="I277" i="3"/>
  <c r="I278" i="3" s="1"/>
  <c r="H277" i="3"/>
  <c r="H278" i="3" s="1"/>
  <c r="G277" i="3"/>
  <c r="M275" i="3"/>
  <c r="L275" i="3"/>
  <c r="K275" i="3"/>
  <c r="J275" i="3"/>
  <c r="I275" i="3"/>
  <c r="H275" i="3"/>
  <c r="G275" i="3"/>
  <c r="M273" i="3"/>
  <c r="M276" i="3" s="1"/>
  <c r="L273" i="3"/>
  <c r="L276" i="3" s="1"/>
  <c r="K273" i="3"/>
  <c r="K276" i="3" s="1"/>
  <c r="J273" i="3"/>
  <c r="J276" i="3" s="1"/>
  <c r="I273" i="3"/>
  <c r="I276" i="3" s="1"/>
  <c r="H273" i="3"/>
  <c r="H276" i="3" s="1"/>
  <c r="G273" i="3"/>
  <c r="G276" i="3" s="1"/>
  <c r="I271" i="3"/>
  <c r="G271" i="3"/>
  <c r="G270" i="3"/>
  <c r="M269" i="3"/>
  <c r="M270" i="3" s="1"/>
  <c r="L269" i="3"/>
  <c r="L272" i="3" s="1"/>
  <c r="K269" i="3"/>
  <c r="K272" i="3" s="1"/>
  <c r="J269" i="3"/>
  <c r="J272" i="3" s="1"/>
  <c r="I269" i="3"/>
  <c r="I272" i="3" s="1"/>
  <c r="H269" i="3"/>
  <c r="H272" i="3" s="1"/>
  <c r="G269" i="3"/>
  <c r="G272" i="3" s="1"/>
  <c r="M264" i="3"/>
  <c r="L264" i="3"/>
  <c r="K264" i="3"/>
  <c r="J264" i="3"/>
  <c r="G264" i="3"/>
  <c r="M263" i="3"/>
  <c r="M266" i="3" s="1"/>
  <c r="L263" i="3"/>
  <c r="L266" i="3" s="1"/>
  <c r="K263" i="3"/>
  <c r="K266" i="3" s="1"/>
  <c r="J263" i="3"/>
  <c r="J266" i="3" s="1"/>
  <c r="I263" i="3"/>
  <c r="I265" i="3" s="1"/>
  <c r="H263" i="3"/>
  <c r="H265" i="3" s="1"/>
  <c r="G263" i="3"/>
  <c r="G265" i="3" s="1"/>
  <c r="F263" i="3"/>
  <c r="K262" i="3"/>
  <c r="J262" i="3"/>
  <c r="I262" i="3"/>
  <c r="H262" i="3"/>
  <c r="K261" i="3"/>
  <c r="J261" i="3"/>
  <c r="I261" i="3"/>
  <c r="H261" i="3"/>
  <c r="M258" i="3"/>
  <c r="L258" i="3"/>
  <c r="K258" i="3"/>
  <c r="M257" i="3"/>
  <c r="L257" i="3"/>
  <c r="K257" i="3"/>
  <c r="J257" i="3"/>
  <c r="M256" i="3"/>
  <c r="M259" i="3" s="1"/>
  <c r="L256" i="3"/>
  <c r="L259" i="3" s="1"/>
  <c r="K256" i="3"/>
  <c r="K259" i="3" s="1"/>
  <c r="J256" i="3"/>
  <c r="J258" i="3" s="1"/>
  <c r="I256" i="3"/>
  <c r="I257" i="3" s="1"/>
  <c r="H256" i="3"/>
  <c r="H257" i="3" s="1"/>
  <c r="G256" i="3"/>
  <c r="G260" i="3" s="1"/>
  <c r="M254" i="3"/>
  <c r="L254" i="3"/>
  <c r="K254" i="3"/>
  <c r="J254" i="3"/>
  <c r="G253" i="3"/>
  <c r="M252" i="3"/>
  <c r="M260" i="3" s="1"/>
  <c r="L252" i="3"/>
  <c r="L260" i="3" s="1"/>
  <c r="K252" i="3"/>
  <c r="K255" i="3" s="1"/>
  <c r="J252" i="3"/>
  <c r="J255" i="3" s="1"/>
  <c r="I252" i="3"/>
  <c r="I254" i="3" s="1"/>
  <c r="H252" i="3"/>
  <c r="H254" i="3" s="1"/>
  <c r="G252" i="3"/>
  <c r="G254" i="3" s="1"/>
  <c r="L250" i="3"/>
  <c r="J250" i="3"/>
  <c r="M249" i="3"/>
  <c r="K249" i="3"/>
  <c r="J249" i="3"/>
  <c r="M248" i="3"/>
  <c r="M250" i="3" s="1"/>
  <c r="L248" i="3"/>
  <c r="L249" i="3" s="1"/>
  <c r="K248" i="3"/>
  <c r="K250" i="3" s="1"/>
  <c r="J248" i="3"/>
  <c r="I248" i="3"/>
  <c r="I250" i="3" s="1"/>
  <c r="H248" i="3"/>
  <c r="H249" i="3" s="1"/>
  <c r="G248" i="3"/>
  <c r="G250" i="3" s="1"/>
  <c r="M247" i="3"/>
  <c r="L247" i="3"/>
  <c r="K247" i="3"/>
  <c r="J247" i="3"/>
  <c r="I247" i="3"/>
  <c r="H247" i="3"/>
  <c r="G247" i="3"/>
  <c r="M246" i="3"/>
  <c r="L246" i="3"/>
  <c r="K246" i="3"/>
  <c r="J246" i="3"/>
  <c r="I246" i="3"/>
  <c r="H246" i="3"/>
  <c r="G246" i="3"/>
  <c r="F245" i="3"/>
  <c r="J242" i="3"/>
  <c r="I242" i="3"/>
  <c r="H242" i="3"/>
  <c r="G242" i="3"/>
  <c r="J241" i="3"/>
  <c r="H241" i="3"/>
  <c r="M240" i="3"/>
  <c r="M244" i="3" s="1"/>
  <c r="L240" i="3"/>
  <c r="L244" i="3" s="1"/>
  <c r="K240" i="3"/>
  <c r="K244" i="3" s="1"/>
  <c r="J240" i="3"/>
  <c r="J243" i="3" s="1"/>
  <c r="I240" i="3"/>
  <c r="I243" i="3" s="1"/>
  <c r="H240" i="3"/>
  <c r="H243" i="3" s="1"/>
  <c r="G240" i="3"/>
  <c r="G243" i="3" s="1"/>
  <c r="J239" i="3"/>
  <c r="I239" i="3"/>
  <c r="G239" i="3"/>
  <c r="M237" i="3"/>
  <c r="M238" i="3" s="1"/>
  <c r="L237" i="3"/>
  <c r="L238" i="3" s="1"/>
  <c r="K237" i="3"/>
  <c r="K238" i="3" s="1"/>
  <c r="J237" i="3"/>
  <c r="J238" i="3" s="1"/>
  <c r="I237" i="3"/>
  <c r="I238" i="3" s="1"/>
  <c r="H237" i="3"/>
  <c r="H238" i="3" s="1"/>
  <c r="G237" i="3"/>
  <c r="G238" i="3" s="1"/>
  <c r="M235" i="3"/>
  <c r="L235" i="3"/>
  <c r="K235" i="3"/>
  <c r="J235" i="3"/>
  <c r="I235" i="3"/>
  <c r="H235" i="3"/>
  <c r="G235" i="3"/>
  <c r="M233" i="3"/>
  <c r="M236" i="3" s="1"/>
  <c r="L233" i="3"/>
  <c r="L236" i="3" s="1"/>
  <c r="K233" i="3"/>
  <c r="K236" i="3" s="1"/>
  <c r="J233" i="3"/>
  <c r="J234" i="3" s="1"/>
  <c r="I233" i="3"/>
  <c r="I234" i="3" s="1"/>
  <c r="H233" i="3"/>
  <c r="H234" i="3" s="1"/>
  <c r="G233" i="3"/>
  <c r="M231" i="3"/>
  <c r="L231" i="3"/>
  <c r="K231" i="3"/>
  <c r="J231" i="3"/>
  <c r="I231" i="3"/>
  <c r="H231" i="3"/>
  <c r="G231" i="3"/>
  <c r="L230" i="3"/>
  <c r="K230" i="3"/>
  <c r="M229" i="3"/>
  <c r="M232" i="3" s="1"/>
  <c r="L229" i="3"/>
  <c r="L232" i="3" s="1"/>
  <c r="K229" i="3"/>
  <c r="K232" i="3" s="1"/>
  <c r="J229" i="3"/>
  <c r="J232" i="3" s="1"/>
  <c r="I229" i="3"/>
  <c r="I232" i="3" s="1"/>
  <c r="H229" i="3"/>
  <c r="H232" i="3" s="1"/>
  <c r="G229" i="3"/>
  <c r="G232" i="3" s="1"/>
  <c r="J227" i="3"/>
  <c r="G227" i="3"/>
  <c r="M225" i="3"/>
  <c r="M226" i="3" s="1"/>
  <c r="L225" i="3"/>
  <c r="L226" i="3" s="1"/>
  <c r="K225" i="3"/>
  <c r="J225" i="3"/>
  <c r="J228" i="3" s="1"/>
  <c r="I225" i="3"/>
  <c r="I228" i="3" s="1"/>
  <c r="H225" i="3"/>
  <c r="H228" i="3" s="1"/>
  <c r="G225" i="3"/>
  <c r="G228" i="3" s="1"/>
  <c r="K220" i="3"/>
  <c r="J220" i="3"/>
  <c r="I220" i="3"/>
  <c r="H220" i="3"/>
  <c r="G220" i="3"/>
  <c r="M219" i="3"/>
  <c r="M222" i="3" s="1"/>
  <c r="L219" i="3"/>
  <c r="L222" i="3" s="1"/>
  <c r="K219" i="3"/>
  <c r="K222" i="3" s="1"/>
  <c r="J219" i="3"/>
  <c r="J222" i="3" s="1"/>
  <c r="I219" i="3"/>
  <c r="I221" i="3" s="1"/>
  <c r="H219" i="3"/>
  <c r="H221" i="3" s="1"/>
  <c r="G219" i="3"/>
  <c r="G221" i="3" s="1"/>
  <c r="K218" i="3"/>
  <c r="J218" i="3"/>
  <c r="I218" i="3"/>
  <c r="H218" i="3"/>
  <c r="K217" i="3"/>
  <c r="J217" i="3"/>
  <c r="I217" i="3"/>
  <c r="H217" i="3"/>
  <c r="M214" i="3"/>
  <c r="L214" i="3"/>
  <c r="K214" i="3"/>
  <c r="L213" i="3"/>
  <c r="K213" i="3"/>
  <c r="M212" i="3"/>
  <c r="M215" i="3" s="1"/>
  <c r="L212" i="3"/>
  <c r="L215" i="3" s="1"/>
  <c r="K212" i="3"/>
  <c r="K215" i="3" s="1"/>
  <c r="J212" i="3"/>
  <c r="J214" i="3" s="1"/>
  <c r="I212" i="3"/>
  <c r="I213" i="3" s="1"/>
  <c r="H212" i="3"/>
  <c r="H213" i="3" s="1"/>
  <c r="G212" i="3"/>
  <c r="G215" i="3" s="1"/>
  <c r="M210" i="3"/>
  <c r="L210" i="3"/>
  <c r="K210" i="3"/>
  <c r="K209" i="3"/>
  <c r="I209" i="3"/>
  <c r="M208" i="3"/>
  <c r="L208" i="3"/>
  <c r="L216" i="3" s="1"/>
  <c r="K208" i="3"/>
  <c r="K211" i="3" s="1"/>
  <c r="J208" i="3"/>
  <c r="J211" i="3" s="1"/>
  <c r="I208" i="3"/>
  <c r="I210" i="3" s="1"/>
  <c r="H208" i="3"/>
  <c r="H210" i="3" s="1"/>
  <c r="G208" i="3"/>
  <c r="G210" i="3" s="1"/>
  <c r="M205" i="3"/>
  <c r="L205" i="3"/>
  <c r="K205" i="3"/>
  <c r="J205" i="3"/>
  <c r="I205" i="3"/>
  <c r="M204" i="3"/>
  <c r="M206" i="3" s="1"/>
  <c r="L204" i="3"/>
  <c r="L206" i="3" s="1"/>
  <c r="K204" i="3"/>
  <c r="K206" i="3" s="1"/>
  <c r="J204" i="3"/>
  <c r="J206" i="3" s="1"/>
  <c r="I204" i="3"/>
  <c r="I206" i="3" s="1"/>
  <c r="H204" i="3"/>
  <c r="H206" i="3" s="1"/>
  <c r="G204" i="3"/>
  <c r="G206" i="3" s="1"/>
  <c r="M203" i="3"/>
  <c r="L203" i="3"/>
  <c r="K203" i="3"/>
  <c r="J203" i="3"/>
  <c r="I203" i="3"/>
  <c r="H203" i="3"/>
  <c r="G203" i="3"/>
  <c r="M202" i="3"/>
  <c r="L202" i="3"/>
  <c r="K202" i="3"/>
  <c r="J202" i="3"/>
  <c r="I202" i="3"/>
  <c r="H202" i="3"/>
  <c r="G202" i="3"/>
  <c r="F201" i="3"/>
  <c r="J200" i="3"/>
  <c r="H200" i="3"/>
  <c r="I198" i="3"/>
  <c r="H198" i="3"/>
  <c r="G198" i="3"/>
  <c r="J197" i="3"/>
  <c r="I197" i="3"/>
  <c r="M196" i="3"/>
  <c r="M199" i="3" s="1"/>
  <c r="L196" i="3"/>
  <c r="L199" i="3" s="1"/>
  <c r="K196" i="3"/>
  <c r="J196" i="3"/>
  <c r="J199" i="3" s="1"/>
  <c r="I196" i="3"/>
  <c r="I199" i="3" s="1"/>
  <c r="H196" i="3"/>
  <c r="H199" i="3" s="1"/>
  <c r="G196" i="3"/>
  <c r="G199" i="3" s="1"/>
  <c r="J195" i="3"/>
  <c r="H195" i="3"/>
  <c r="M193" i="3"/>
  <c r="M194" i="3" s="1"/>
  <c r="L193" i="3"/>
  <c r="L194" i="3" s="1"/>
  <c r="K193" i="3"/>
  <c r="J193" i="3"/>
  <c r="J194" i="3" s="1"/>
  <c r="I193" i="3"/>
  <c r="I194" i="3" s="1"/>
  <c r="H193" i="3"/>
  <c r="H194" i="3" s="1"/>
  <c r="G193" i="3"/>
  <c r="G195" i="3" s="1"/>
  <c r="M191" i="3"/>
  <c r="L191" i="3"/>
  <c r="K191" i="3"/>
  <c r="J191" i="3"/>
  <c r="I191" i="3"/>
  <c r="H191" i="3"/>
  <c r="G191" i="3"/>
  <c r="L190" i="3"/>
  <c r="K190" i="3"/>
  <c r="M189" i="3"/>
  <c r="M192" i="3" s="1"/>
  <c r="L189" i="3"/>
  <c r="L192" i="3" s="1"/>
  <c r="K189" i="3"/>
  <c r="K192" i="3" s="1"/>
  <c r="J189" i="3"/>
  <c r="J190" i="3" s="1"/>
  <c r="I189" i="3"/>
  <c r="I192" i="3" s="1"/>
  <c r="H189" i="3"/>
  <c r="H190" i="3" s="1"/>
  <c r="G189" i="3"/>
  <c r="M187" i="3"/>
  <c r="L187" i="3"/>
  <c r="K187" i="3"/>
  <c r="J187" i="3"/>
  <c r="I187" i="3"/>
  <c r="H187" i="3"/>
  <c r="G187" i="3"/>
  <c r="M185" i="3"/>
  <c r="M188" i="3" s="1"/>
  <c r="L185" i="3"/>
  <c r="L188" i="3" s="1"/>
  <c r="K185" i="3"/>
  <c r="K188" i="3" s="1"/>
  <c r="J185" i="3"/>
  <c r="J188" i="3" s="1"/>
  <c r="I185" i="3"/>
  <c r="I188" i="3" s="1"/>
  <c r="H185" i="3"/>
  <c r="H188" i="3" s="1"/>
  <c r="G185" i="3"/>
  <c r="G188" i="3" s="1"/>
  <c r="J183" i="3"/>
  <c r="G183" i="3"/>
  <c r="J182" i="3"/>
  <c r="I182" i="3"/>
  <c r="H182" i="3"/>
  <c r="G182" i="3"/>
  <c r="M181" i="3"/>
  <c r="M182" i="3" s="1"/>
  <c r="L181" i="3"/>
  <c r="L182" i="3" s="1"/>
  <c r="K181" i="3"/>
  <c r="K182" i="3" s="1"/>
  <c r="J181" i="3"/>
  <c r="J184" i="3" s="1"/>
  <c r="I181" i="3"/>
  <c r="I184" i="3" s="1"/>
  <c r="H181" i="3"/>
  <c r="H184" i="3" s="1"/>
  <c r="G181" i="3"/>
  <c r="G184" i="3" s="1"/>
  <c r="M175" i="3"/>
  <c r="M178" i="3" s="1"/>
  <c r="L175" i="3"/>
  <c r="L178" i="3" s="1"/>
  <c r="K175" i="3"/>
  <c r="K178" i="3" s="1"/>
  <c r="J175" i="3"/>
  <c r="J177" i="3" s="1"/>
  <c r="I175" i="3"/>
  <c r="I178" i="3" s="1"/>
  <c r="H175" i="3"/>
  <c r="H177" i="3" s="1"/>
  <c r="G175" i="3"/>
  <c r="G177" i="3" s="1"/>
  <c r="K174" i="3"/>
  <c r="J174" i="3"/>
  <c r="I174" i="3"/>
  <c r="H174" i="3"/>
  <c r="K173" i="3"/>
  <c r="J173" i="3"/>
  <c r="I173" i="3"/>
  <c r="H173" i="3"/>
  <c r="F168" i="3"/>
  <c r="J171" i="3"/>
  <c r="H171" i="3"/>
  <c r="M170" i="3"/>
  <c r="L170" i="3"/>
  <c r="K170" i="3"/>
  <c r="J169" i="3"/>
  <c r="I169" i="3"/>
  <c r="H169" i="3"/>
  <c r="G169" i="3"/>
  <c r="M168" i="3"/>
  <c r="M171" i="3" s="1"/>
  <c r="L168" i="3"/>
  <c r="L169" i="3" s="1"/>
  <c r="K168" i="3"/>
  <c r="K171" i="3" s="1"/>
  <c r="J168" i="3"/>
  <c r="J170" i="3" s="1"/>
  <c r="I168" i="3"/>
  <c r="I171" i="3" s="1"/>
  <c r="H168" i="3"/>
  <c r="H170" i="3" s="1"/>
  <c r="G168" i="3"/>
  <c r="G170" i="3" s="1"/>
  <c r="I167" i="3"/>
  <c r="G167" i="3"/>
  <c r="M166" i="3"/>
  <c r="L166" i="3"/>
  <c r="K166" i="3"/>
  <c r="I165" i="3"/>
  <c r="H165" i="3"/>
  <c r="G165" i="3"/>
  <c r="M164" i="3"/>
  <c r="M167" i="3" s="1"/>
  <c r="L164" i="3"/>
  <c r="L167" i="3" s="1"/>
  <c r="K164" i="3"/>
  <c r="K167" i="3" s="1"/>
  <c r="J164" i="3"/>
  <c r="J167" i="3" s="1"/>
  <c r="I164" i="3"/>
  <c r="I166" i="3" s="1"/>
  <c r="H164" i="3"/>
  <c r="H166" i="3" s="1"/>
  <c r="G164" i="3"/>
  <c r="G166" i="3" s="1"/>
  <c r="K134" i="3"/>
  <c r="J134" i="3"/>
  <c r="I134" i="3"/>
  <c r="H134" i="3"/>
  <c r="K133" i="3"/>
  <c r="J133" i="3"/>
  <c r="I133" i="3"/>
  <c r="H133" i="3"/>
  <c r="K132" i="3"/>
  <c r="J132" i="3"/>
  <c r="I132" i="3"/>
  <c r="H132" i="3"/>
  <c r="M131" i="3"/>
  <c r="M134" i="3" s="1"/>
  <c r="L131" i="3"/>
  <c r="L132" i="3" s="1"/>
  <c r="G131" i="3"/>
  <c r="G133" i="3" s="1"/>
  <c r="K130" i="3"/>
  <c r="J130" i="3"/>
  <c r="I130" i="3"/>
  <c r="H130" i="3"/>
  <c r="K129" i="3"/>
  <c r="J129" i="3"/>
  <c r="I129" i="3"/>
  <c r="H129" i="3"/>
  <c r="I127" i="3"/>
  <c r="G127" i="3"/>
  <c r="M126" i="3"/>
  <c r="L126" i="3"/>
  <c r="K126" i="3"/>
  <c r="I125" i="3"/>
  <c r="H125" i="3"/>
  <c r="G125" i="3"/>
  <c r="M124" i="3"/>
  <c r="M127" i="3" s="1"/>
  <c r="L124" i="3"/>
  <c r="L127" i="3" s="1"/>
  <c r="K124" i="3"/>
  <c r="K125" i="3" s="1"/>
  <c r="J124" i="3"/>
  <c r="J126" i="3" s="1"/>
  <c r="I124" i="3"/>
  <c r="I126" i="3" s="1"/>
  <c r="H124" i="3"/>
  <c r="H126" i="3" s="1"/>
  <c r="G124" i="3"/>
  <c r="G126" i="3" s="1"/>
  <c r="H123" i="3"/>
  <c r="M122" i="3"/>
  <c r="L122" i="3"/>
  <c r="K122" i="3"/>
  <c r="J122" i="3"/>
  <c r="H121" i="3"/>
  <c r="G121" i="3"/>
  <c r="M120" i="3"/>
  <c r="M123" i="3" s="1"/>
  <c r="L120" i="3"/>
  <c r="L123" i="3" s="1"/>
  <c r="K120" i="3"/>
  <c r="K123" i="3" s="1"/>
  <c r="J120" i="3"/>
  <c r="J123" i="3" s="1"/>
  <c r="I120" i="3"/>
  <c r="I122" i="3" s="1"/>
  <c r="H120" i="3"/>
  <c r="H122" i="3" s="1"/>
  <c r="G120" i="3"/>
  <c r="G122" i="3" s="1"/>
  <c r="M161" i="3"/>
  <c r="L161" i="3"/>
  <c r="K161" i="3"/>
  <c r="J161" i="3"/>
  <c r="I161" i="3"/>
  <c r="M160" i="3"/>
  <c r="M162" i="3" s="1"/>
  <c r="L160" i="3"/>
  <c r="L162" i="3" s="1"/>
  <c r="K160" i="3"/>
  <c r="K162" i="3" s="1"/>
  <c r="J160" i="3"/>
  <c r="J162" i="3" s="1"/>
  <c r="I160" i="3"/>
  <c r="I162" i="3" s="1"/>
  <c r="H160" i="3"/>
  <c r="H161" i="3" s="1"/>
  <c r="G160" i="3"/>
  <c r="G162" i="3" s="1"/>
  <c r="F157" i="3"/>
  <c r="J158" i="3"/>
  <c r="K158" i="3"/>
  <c r="L158" i="3"/>
  <c r="M159" i="3"/>
  <c r="J159" i="3"/>
  <c r="I159" i="3"/>
  <c r="H158" i="3"/>
  <c r="G158" i="3"/>
  <c r="M158" i="3"/>
  <c r="I158" i="3"/>
  <c r="L159" i="3"/>
  <c r="K159" i="3"/>
  <c r="K155" i="3"/>
  <c r="K153" i="3"/>
  <c r="M152" i="3"/>
  <c r="M156" i="3" s="1"/>
  <c r="L152" i="3"/>
  <c r="L155" i="3" s="1"/>
  <c r="K152" i="3"/>
  <c r="K156" i="3" s="1"/>
  <c r="J152" i="3"/>
  <c r="J153" i="3" s="1"/>
  <c r="I152" i="3"/>
  <c r="I154" i="3" s="1"/>
  <c r="H152" i="3"/>
  <c r="H155" i="3" s="1"/>
  <c r="G152" i="3"/>
  <c r="G153" i="3" s="1"/>
  <c r="M150" i="3"/>
  <c r="L150" i="3"/>
  <c r="J150" i="3"/>
  <c r="I150" i="3"/>
  <c r="M149" i="3"/>
  <c r="M151" i="3" s="1"/>
  <c r="L149" i="3"/>
  <c r="L151" i="3" s="1"/>
  <c r="K149" i="3"/>
  <c r="K151" i="3" s="1"/>
  <c r="J149" i="3"/>
  <c r="J151" i="3" s="1"/>
  <c r="I149" i="3"/>
  <c r="I151" i="3" s="1"/>
  <c r="H149" i="3"/>
  <c r="H150" i="3" s="1"/>
  <c r="G149" i="3"/>
  <c r="G151" i="3" s="1"/>
  <c r="F145" i="3"/>
  <c r="H148" i="3"/>
  <c r="M147" i="3"/>
  <c r="L147" i="3"/>
  <c r="K147" i="3"/>
  <c r="J147" i="3"/>
  <c r="I147" i="3"/>
  <c r="H147" i="3"/>
  <c r="G147" i="3"/>
  <c r="J146" i="3"/>
  <c r="H146" i="3"/>
  <c r="G146" i="3"/>
  <c r="M145" i="3"/>
  <c r="M148" i="3" s="1"/>
  <c r="L145" i="3"/>
  <c r="L148" i="3" s="1"/>
  <c r="K145" i="3"/>
  <c r="K148" i="3" s="1"/>
  <c r="J145" i="3"/>
  <c r="J148" i="3" s="1"/>
  <c r="I145" i="3"/>
  <c r="I148" i="3" s="1"/>
  <c r="H145" i="3"/>
  <c r="G145" i="3"/>
  <c r="G148" i="3" s="1"/>
  <c r="G143" i="3"/>
  <c r="I144" i="3"/>
  <c r="H144" i="3"/>
  <c r="M143" i="3"/>
  <c r="L143" i="3"/>
  <c r="K143" i="3"/>
  <c r="J143" i="3"/>
  <c r="I143" i="3"/>
  <c r="H143" i="3"/>
  <c r="I142" i="3"/>
  <c r="H142" i="3"/>
  <c r="M141" i="3"/>
  <c r="M144" i="3" s="1"/>
  <c r="L141" i="3"/>
  <c r="L144" i="3" s="1"/>
  <c r="K141" i="3"/>
  <c r="K144" i="3" s="1"/>
  <c r="J141" i="3"/>
  <c r="J144" i="3" s="1"/>
  <c r="I141" i="3"/>
  <c r="H141" i="3"/>
  <c r="G141" i="3"/>
  <c r="F141" i="3" s="1"/>
  <c r="I140" i="3"/>
  <c r="G140" i="3"/>
  <c r="I138" i="3"/>
  <c r="H138" i="3"/>
  <c r="M137" i="3"/>
  <c r="M140" i="3" s="1"/>
  <c r="L137" i="3"/>
  <c r="L138" i="3" s="1"/>
  <c r="K137" i="3"/>
  <c r="K138" i="3" s="1"/>
  <c r="J137" i="3"/>
  <c r="J140" i="3" s="1"/>
  <c r="I137" i="3"/>
  <c r="I139" i="3" s="1"/>
  <c r="H137" i="3"/>
  <c r="H139" i="3" s="1"/>
  <c r="G137" i="3"/>
  <c r="G139" i="3" s="1"/>
  <c r="F116" i="3"/>
  <c r="M117" i="3"/>
  <c r="K117" i="3"/>
  <c r="M116" i="3"/>
  <c r="M118" i="3" s="1"/>
  <c r="L116" i="3"/>
  <c r="L118" i="3" s="1"/>
  <c r="K116" i="3"/>
  <c r="K118" i="3" s="1"/>
  <c r="J116" i="3"/>
  <c r="J118" i="3" s="1"/>
  <c r="I116" i="3"/>
  <c r="I118" i="3" s="1"/>
  <c r="H116" i="3"/>
  <c r="H117" i="3" s="1"/>
  <c r="G116" i="3"/>
  <c r="G118" i="3" s="1"/>
  <c r="F113" i="3"/>
  <c r="K114" i="3"/>
  <c r="L114" i="3"/>
  <c r="M114" i="3"/>
  <c r="K115" i="3"/>
  <c r="J114" i="3"/>
  <c r="H114" i="3"/>
  <c r="G114" i="3"/>
  <c r="I114" i="3"/>
  <c r="I115" i="3"/>
  <c r="F109" i="3"/>
  <c r="H112" i="3"/>
  <c r="J111" i="3"/>
  <c r="H110" i="3"/>
  <c r="G110" i="3"/>
  <c r="M109" i="3"/>
  <c r="M112" i="3" s="1"/>
  <c r="L109" i="3"/>
  <c r="L112" i="3" s="1"/>
  <c r="K109" i="3"/>
  <c r="K110" i="3" s="1"/>
  <c r="J109" i="3"/>
  <c r="J112" i="3" s="1"/>
  <c r="I109" i="3"/>
  <c r="I112" i="3" s="1"/>
  <c r="H109" i="3"/>
  <c r="H111" i="3" s="1"/>
  <c r="G109" i="3"/>
  <c r="G111" i="3" s="1"/>
  <c r="H108" i="3"/>
  <c r="I107" i="3"/>
  <c r="J106" i="3"/>
  <c r="I106" i="3"/>
  <c r="M105" i="3"/>
  <c r="M108" i="3" s="1"/>
  <c r="L105" i="3"/>
  <c r="L108" i="3" s="1"/>
  <c r="K105" i="3"/>
  <c r="K108" i="3" s="1"/>
  <c r="J105" i="3"/>
  <c r="J108" i="3" s="1"/>
  <c r="I105" i="3"/>
  <c r="I108" i="3" s="1"/>
  <c r="H105" i="3"/>
  <c r="H107" i="3" s="1"/>
  <c r="G105" i="3"/>
  <c r="G107" i="3" s="1"/>
  <c r="S57" i="3" l="1"/>
  <c r="Q57" i="3"/>
  <c r="Q67" i="3"/>
  <c r="R57" i="3"/>
  <c r="R228" i="3"/>
  <c r="R318" i="3"/>
  <c r="R178" i="3"/>
  <c r="R484" i="3"/>
  <c r="R498" i="3"/>
  <c r="R446" i="3"/>
  <c r="R184" i="3"/>
  <c r="S46" i="3"/>
  <c r="R264" i="3"/>
  <c r="R490" i="3"/>
  <c r="R112" i="3"/>
  <c r="R134" i="3"/>
  <c r="R138" i="3"/>
  <c r="R190" i="3"/>
  <c r="R278" i="3"/>
  <c r="R359" i="3"/>
  <c r="R183" i="3"/>
  <c r="R220" i="3"/>
  <c r="R27" i="3"/>
  <c r="R53" i="3"/>
  <c r="R70" i="3"/>
  <c r="R107" i="3"/>
  <c r="R146" i="3"/>
  <c r="R213" i="3"/>
  <c r="R139" i="3"/>
  <c r="R176" i="3"/>
  <c r="R230" i="3"/>
  <c r="R578" i="3"/>
  <c r="R79" i="3"/>
  <c r="R108" i="3"/>
  <c r="R429" i="3"/>
  <c r="R71" i="3"/>
  <c r="R132" i="3"/>
  <c r="R140" i="3"/>
  <c r="R186" i="3"/>
  <c r="R110" i="3"/>
  <c r="R125" i="3"/>
  <c r="R177" i="3"/>
  <c r="R222" i="3"/>
  <c r="R385" i="3"/>
  <c r="R403" i="3"/>
  <c r="R75" i="3"/>
  <c r="R142" i="3"/>
  <c r="R209" i="3"/>
  <c r="R314" i="3"/>
  <c r="R35" i="3"/>
  <c r="R67" i="3"/>
  <c r="R133" i="3"/>
  <c r="R226" i="3"/>
  <c r="R448" i="3"/>
  <c r="R106" i="3"/>
  <c r="S67" i="3"/>
  <c r="R104" i="3"/>
  <c r="R111" i="3"/>
  <c r="R165" i="3"/>
  <c r="R69" i="3"/>
  <c r="R182" i="3"/>
  <c r="R234" i="3"/>
  <c r="R265" i="3"/>
  <c r="R538" i="3"/>
  <c r="R360" i="3"/>
  <c r="R404" i="3"/>
  <c r="R491" i="3"/>
  <c r="R605" i="3"/>
  <c r="R272" i="3"/>
  <c r="R492" i="3"/>
  <c r="R565" i="3"/>
  <c r="R579" i="3"/>
  <c r="R301" i="3"/>
  <c r="R345" i="3"/>
  <c r="R352" i="3"/>
  <c r="R580" i="3"/>
  <c r="R362" i="3"/>
  <c r="R396" i="3"/>
  <c r="R406" i="3"/>
  <c r="R440" i="3"/>
  <c r="R528" i="3"/>
  <c r="R542" i="3"/>
  <c r="R582" i="3"/>
  <c r="R609" i="3"/>
  <c r="R266" i="3"/>
  <c r="R353" i="3"/>
  <c r="R473" i="3"/>
  <c r="R494" i="3"/>
  <c r="R389" i="3"/>
  <c r="R397" i="3"/>
  <c r="R433" i="3"/>
  <c r="R441" i="3"/>
  <c r="R517" i="3"/>
  <c r="R529" i="3"/>
  <c r="R354" i="3"/>
  <c r="R398" i="3"/>
  <c r="R442" i="3"/>
  <c r="R530" i="3"/>
  <c r="R270" i="3"/>
  <c r="R316" i="3"/>
  <c r="R322" i="3"/>
  <c r="R341" i="3"/>
  <c r="R454" i="3"/>
  <c r="R485" i="3"/>
  <c r="R534" i="3"/>
  <c r="R572" i="3"/>
  <c r="R586" i="3"/>
  <c r="R257" i="3"/>
  <c r="R309" i="3"/>
  <c r="R486" i="3"/>
  <c r="R616" i="3"/>
  <c r="R358" i="3"/>
  <c r="R366" i="3"/>
  <c r="R402" i="3"/>
  <c r="R477" i="3"/>
  <c r="R521" i="3"/>
  <c r="R535" i="3"/>
  <c r="R561" i="3"/>
  <c r="R573" i="3"/>
  <c r="R310" i="3"/>
  <c r="R447" i="3"/>
  <c r="R536" i="3"/>
  <c r="R574" i="3"/>
  <c r="R617" i="3"/>
  <c r="R618" i="3"/>
  <c r="S109" i="3"/>
  <c r="S157" i="3"/>
  <c r="S300" i="3"/>
  <c r="F43" i="3"/>
  <c r="S26" i="3"/>
  <c r="F44" i="3"/>
  <c r="S49" i="3"/>
  <c r="S145" i="3"/>
  <c r="S289" i="3"/>
  <c r="S432" i="3"/>
  <c r="F71" i="3"/>
  <c r="S141" i="3"/>
  <c r="S333" i="3"/>
  <c r="F147" i="3"/>
  <c r="F29" i="3"/>
  <c r="F36" i="3"/>
  <c r="S52" i="3"/>
  <c r="S245" i="3"/>
  <c r="S56" i="3"/>
  <c r="S201" i="3"/>
  <c r="S113" i="3"/>
  <c r="S545" i="3"/>
  <c r="F202" i="3"/>
  <c r="F543" i="3"/>
  <c r="F42" i="3"/>
  <c r="F45" i="3"/>
  <c r="S66" i="3"/>
  <c r="S116" i="3"/>
  <c r="S597" i="3"/>
  <c r="F148" i="3"/>
  <c r="F40" i="3"/>
  <c r="S68" i="3"/>
  <c r="S168" i="3"/>
  <c r="S263" i="3"/>
  <c r="S361" i="3"/>
  <c r="S553" i="3"/>
  <c r="F378" i="3"/>
  <c r="F411" i="3"/>
  <c r="F47" i="3"/>
  <c r="F50" i="3"/>
  <c r="S509" i="3"/>
  <c r="S556" i="3"/>
  <c r="F587" i="3"/>
  <c r="S30" i="3"/>
  <c r="S465" i="3"/>
  <c r="S560" i="3"/>
  <c r="F323" i="3"/>
  <c r="F539" i="3"/>
  <c r="S34" i="3"/>
  <c r="S421" i="3"/>
  <c r="F41" i="3"/>
  <c r="S38" i="3"/>
  <c r="S377" i="3"/>
  <c r="S615" i="3"/>
  <c r="O30" i="3"/>
  <c r="O46" i="3"/>
  <c r="O56" i="3"/>
  <c r="O66" i="3"/>
  <c r="O116" i="3"/>
  <c r="O141" i="3"/>
  <c r="O201" i="3"/>
  <c r="O333" i="3"/>
  <c r="O465" i="3"/>
  <c r="O560" i="3"/>
  <c r="O597" i="3"/>
  <c r="R30" i="3"/>
  <c r="R46" i="3"/>
  <c r="R56" i="3"/>
  <c r="R66" i="3"/>
  <c r="R78" i="3"/>
  <c r="R94" i="3"/>
  <c r="R105" i="3"/>
  <c r="R116" i="3"/>
  <c r="R128" i="3"/>
  <c r="R141" i="3"/>
  <c r="R152" i="3"/>
  <c r="R164" i="3"/>
  <c r="R175" i="3"/>
  <c r="R189" i="3"/>
  <c r="R201" i="3"/>
  <c r="R212" i="3"/>
  <c r="R225" i="3"/>
  <c r="R237" i="3"/>
  <c r="R248" i="3"/>
  <c r="R260" i="3"/>
  <c r="R273" i="3"/>
  <c r="R284" i="3"/>
  <c r="R296" i="3"/>
  <c r="R307" i="3"/>
  <c r="R321" i="3"/>
  <c r="R333" i="3"/>
  <c r="R344" i="3"/>
  <c r="R357" i="3"/>
  <c r="R369" i="3"/>
  <c r="R380" i="3"/>
  <c r="R392" i="3"/>
  <c r="R405" i="3"/>
  <c r="R416" i="3"/>
  <c r="R428" i="3"/>
  <c r="R439" i="3"/>
  <c r="R453" i="3"/>
  <c r="R465" i="3"/>
  <c r="R476" i="3"/>
  <c r="R489" i="3"/>
  <c r="R501" i="3"/>
  <c r="R512" i="3"/>
  <c r="R524" i="3"/>
  <c r="R537" i="3"/>
  <c r="R548" i="3"/>
  <c r="R560" i="3"/>
  <c r="R571" i="3"/>
  <c r="R585" i="3"/>
  <c r="R597" i="3"/>
  <c r="R608" i="3"/>
  <c r="O34" i="3"/>
  <c r="O49" i="3"/>
  <c r="O68" i="3"/>
  <c r="O109" i="3"/>
  <c r="O145" i="3"/>
  <c r="O157" i="3"/>
  <c r="O168" i="3"/>
  <c r="O263" i="3"/>
  <c r="O289" i="3"/>
  <c r="O300" i="3"/>
  <c r="O361" i="3"/>
  <c r="O421" i="3"/>
  <c r="O432" i="3"/>
  <c r="O553" i="3"/>
  <c r="R23" i="3"/>
  <c r="R34" i="3"/>
  <c r="R49" i="3"/>
  <c r="R60" i="3"/>
  <c r="R68" i="3"/>
  <c r="R82" i="3"/>
  <c r="R100" i="3"/>
  <c r="R109" i="3"/>
  <c r="R120" i="3"/>
  <c r="R131" i="3"/>
  <c r="R145" i="3"/>
  <c r="R157" i="3"/>
  <c r="R168" i="3"/>
  <c r="R181" i="3"/>
  <c r="R193" i="3"/>
  <c r="R204" i="3"/>
  <c r="R216" i="3"/>
  <c r="R229" i="3"/>
  <c r="R240" i="3"/>
  <c r="R252" i="3"/>
  <c r="R263" i="3"/>
  <c r="R277" i="3"/>
  <c r="R289" i="3"/>
  <c r="R300" i="3"/>
  <c r="R313" i="3"/>
  <c r="R325" i="3"/>
  <c r="R336" i="3"/>
  <c r="R348" i="3"/>
  <c r="R361" i="3"/>
  <c r="R372" i="3"/>
  <c r="R384" i="3"/>
  <c r="R395" i="3"/>
  <c r="R409" i="3"/>
  <c r="R421" i="3"/>
  <c r="R432" i="3"/>
  <c r="R445" i="3"/>
  <c r="R457" i="3"/>
  <c r="R468" i="3"/>
  <c r="R480" i="3"/>
  <c r="R493" i="3"/>
  <c r="R504" i="3"/>
  <c r="R516" i="3"/>
  <c r="R527" i="3"/>
  <c r="R541" i="3"/>
  <c r="R553" i="3"/>
  <c r="R564" i="3"/>
  <c r="R577" i="3"/>
  <c r="R589" i="3"/>
  <c r="R600" i="3"/>
  <c r="R612" i="3"/>
  <c r="O26" i="3"/>
  <c r="O38" i="3"/>
  <c r="O52" i="3"/>
  <c r="O113" i="3"/>
  <c r="O245" i="3"/>
  <c r="O377" i="3"/>
  <c r="O509" i="3"/>
  <c r="O545" i="3"/>
  <c r="O556" i="3"/>
  <c r="O615" i="3"/>
  <c r="R26" i="3"/>
  <c r="R38" i="3"/>
  <c r="R52" i="3"/>
  <c r="R63" i="3"/>
  <c r="R74" i="3"/>
  <c r="R85" i="3"/>
  <c r="R103" i="3"/>
  <c r="R113" i="3"/>
  <c r="R124" i="3"/>
  <c r="R137" i="3"/>
  <c r="R149" i="3"/>
  <c r="R160" i="3"/>
  <c r="R172" i="3"/>
  <c r="R185" i="3"/>
  <c r="R196" i="3"/>
  <c r="R208" i="3"/>
  <c r="R219" i="3"/>
  <c r="R233" i="3"/>
  <c r="R245" i="3"/>
  <c r="R256" i="3"/>
  <c r="R269" i="3"/>
  <c r="R281" i="3"/>
  <c r="R292" i="3"/>
  <c r="R304" i="3"/>
  <c r="R317" i="3"/>
  <c r="R328" i="3"/>
  <c r="R340" i="3"/>
  <c r="R351" i="3"/>
  <c r="R365" i="3"/>
  <c r="R377" i="3"/>
  <c r="R388" i="3"/>
  <c r="R401" i="3"/>
  <c r="R413" i="3"/>
  <c r="R424" i="3"/>
  <c r="R436" i="3"/>
  <c r="R449" i="3"/>
  <c r="R460" i="3"/>
  <c r="R472" i="3"/>
  <c r="R483" i="3"/>
  <c r="R497" i="3"/>
  <c r="R509" i="3"/>
  <c r="R520" i="3"/>
  <c r="R533" i="3"/>
  <c r="R545" i="3"/>
  <c r="R556" i="3"/>
  <c r="R568" i="3"/>
  <c r="R581" i="3"/>
  <c r="R592" i="3"/>
  <c r="R604" i="3"/>
  <c r="R615" i="3"/>
  <c r="F246" i="3"/>
  <c r="F60" i="3"/>
  <c r="O60" i="3" s="1"/>
  <c r="F158" i="3"/>
  <c r="F554" i="3"/>
  <c r="F122" i="3"/>
  <c r="F610" i="3"/>
  <c r="F114" i="3"/>
  <c r="F466" i="3"/>
  <c r="F499" i="3"/>
  <c r="F63" i="3"/>
  <c r="O63" i="3" s="1"/>
  <c r="F290" i="3"/>
  <c r="F422" i="3"/>
  <c r="F191" i="3"/>
  <c r="F367" i="3"/>
  <c r="F143" i="3"/>
  <c r="F334" i="3"/>
  <c r="F583" i="3"/>
  <c r="F599" i="3"/>
  <c r="F510" i="3"/>
  <c r="J70" i="3"/>
  <c r="F70" i="3" s="1"/>
  <c r="J69" i="3"/>
  <c r="F69" i="3" s="1"/>
  <c r="S69" i="3" s="1"/>
  <c r="J64" i="3"/>
  <c r="F64" i="3" s="1"/>
  <c r="J61" i="3"/>
  <c r="F61" i="3" s="1"/>
  <c r="J53" i="3"/>
  <c r="F53" i="3" s="1"/>
  <c r="Q53" i="3" s="1"/>
  <c r="G51" i="3"/>
  <c r="H51" i="3"/>
  <c r="K48" i="3"/>
  <c r="G48" i="3"/>
  <c r="H48" i="3"/>
  <c r="F37" i="3"/>
  <c r="J35" i="3"/>
  <c r="F35" i="3" s="1"/>
  <c r="S35" i="3" s="1"/>
  <c r="K32" i="3"/>
  <c r="G31" i="3"/>
  <c r="L32" i="3"/>
  <c r="M32" i="3"/>
  <c r="G33" i="3"/>
  <c r="F33" i="3" s="1"/>
  <c r="K31" i="3"/>
  <c r="L31" i="3"/>
  <c r="M31" i="3"/>
  <c r="K28" i="3"/>
  <c r="L28" i="3"/>
  <c r="M28" i="3"/>
  <c r="K27" i="3"/>
  <c r="L27" i="3"/>
  <c r="M27" i="3"/>
  <c r="F126" i="3"/>
  <c r="J382" i="3"/>
  <c r="J415" i="3"/>
  <c r="H418" i="3"/>
  <c r="J441" i="3"/>
  <c r="F476" i="3"/>
  <c r="S476" i="3" s="1"/>
  <c r="F501" i="3"/>
  <c r="O501" i="3" s="1"/>
  <c r="I503" i="3"/>
  <c r="G506" i="3"/>
  <c r="F582" i="3"/>
  <c r="Q582" i="3" s="1"/>
  <c r="J107" i="3"/>
  <c r="L117" i="3"/>
  <c r="G138" i="3"/>
  <c r="J142" i="3"/>
  <c r="I146" i="3"/>
  <c r="K150" i="3"/>
  <c r="I123" i="3"/>
  <c r="J127" i="3"/>
  <c r="F164" i="3"/>
  <c r="S164" i="3" s="1"/>
  <c r="F175" i="3"/>
  <c r="O175" i="3" s="1"/>
  <c r="I195" i="3"/>
  <c r="J213" i="3"/>
  <c r="H239" i="3"/>
  <c r="F256" i="3"/>
  <c r="I283" i="3"/>
  <c r="G304" i="3"/>
  <c r="F304" i="3" s="1"/>
  <c r="S304" i="3" s="1"/>
  <c r="K309" i="3"/>
  <c r="F309" i="3" s="1"/>
  <c r="L322" i="3"/>
  <c r="J327" i="3"/>
  <c r="G330" i="3"/>
  <c r="F336" i="3"/>
  <c r="S336" i="3" s="1"/>
  <c r="J337" i="3"/>
  <c r="J342" i="3"/>
  <c r="F342" i="3" s="1"/>
  <c r="J345" i="3"/>
  <c r="G352" i="3"/>
  <c r="I359" i="3"/>
  <c r="F365" i="3"/>
  <c r="S365" i="3" s="1"/>
  <c r="J397" i="3"/>
  <c r="I418" i="3"/>
  <c r="K441" i="3"/>
  <c r="F453" i="3"/>
  <c r="O453" i="3" s="1"/>
  <c r="J485" i="3"/>
  <c r="J503" i="3"/>
  <c r="H506" i="3"/>
  <c r="J514" i="3"/>
  <c r="G552" i="3"/>
  <c r="F555" i="3"/>
  <c r="F564" i="3"/>
  <c r="S564" i="3" s="1"/>
  <c r="F571" i="3"/>
  <c r="S571" i="3" s="1"/>
  <c r="J178" i="3"/>
  <c r="F206" i="3"/>
  <c r="F131" i="3"/>
  <c r="S131" i="3" s="1"/>
  <c r="J529" i="3"/>
  <c r="F225" i="3"/>
  <c r="S225" i="3" s="1"/>
  <c r="L278" i="3"/>
  <c r="M441" i="3"/>
  <c r="F558" i="3"/>
  <c r="I110" i="3"/>
  <c r="J138" i="3"/>
  <c r="F149" i="3"/>
  <c r="S149" i="3" s="1"/>
  <c r="M153" i="3"/>
  <c r="F160" i="3"/>
  <c r="O160" i="3" s="1"/>
  <c r="I121" i="3"/>
  <c r="J125" i="3"/>
  <c r="J165" i="3"/>
  <c r="I170" i="3"/>
  <c r="F170" i="3" s="1"/>
  <c r="G172" i="3"/>
  <c r="G176" i="3"/>
  <c r="G186" i="3"/>
  <c r="F193" i="3"/>
  <c r="S193" i="3" s="1"/>
  <c r="I211" i="3"/>
  <c r="M213" i="3"/>
  <c r="K234" i="3"/>
  <c r="H253" i="3"/>
  <c r="J265" i="3"/>
  <c r="H270" i="3"/>
  <c r="F275" i="3"/>
  <c r="F281" i="3"/>
  <c r="S281" i="3" s="1"/>
  <c r="J297" i="3"/>
  <c r="H315" i="3"/>
  <c r="H318" i="3"/>
  <c r="M348" i="3"/>
  <c r="M350" i="3" s="1"/>
  <c r="M345" i="3"/>
  <c r="F351" i="3"/>
  <c r="S351" i="3" s="1"/>
  <c r="J352" i="3"/>
  <c r="L362" i="3"/>
  <c r="F362" i="3" s="1"/>
  <c r="S362" i="3" s="1"/>
  <c r="I370" i="3"/>
  <c r="F370" i="3" s="1"/>
  <c r="J376" i="3"/>
  <c r="K385" i="3"/>
  <c r="M397" i="3"/>
  <c r="H403" i="3"/>
  <c r="H406" i="3"/>
  <c r="H420" i="3"/>
  <c r="K429" i="3"/>
  <c r="J447" i="3"/>
  <c r="K450" i="3"/>
  <c r="K470" i="3"/>
  <c r="M485" i="3"/>
  <c r="H491" i="3"/>
  <c r="G508" i="3"/>
  <c r="M514" i="3"/>
  <c r="L529" i="3"/>
  <c r="H578" i="3"/>
  <c r="H596" i="3"/>
  <c r="H606" i="3"/>
  <c r="F338" i="3"/>
  <c r="K397" i="3"/>
  <c r="M216" i="3"/>
  <c r="M217" i="3" s="1"/>
  <c r="J110" i="3"/>
  <c r="I155" i="3"/>
  <c r="J121" i="3"/>
  <c r="L172" i="3"/>
  <c r="H176" i="3"/>
  <c r="H183" i="3"/>
  <c r="H186" i="3"/>
  <c r="J198" i="3"/>
  <c r="G209" i="3"/>
  <c r="F212" i="3"/>
  <c r="O212" i="3" s="1"/>
  <c r="L220" i="3"/>
  <c r="L234" i="3"/>
  <c r="I253" i="3"/>
  <c r="K265" i="3"/>
  <c r="I270" i="3"/>
  <c r="K297" i="3"/>
  <c r="I318" i="3"/>
  <c r="F321" i="3"/>
  <c r="O321" i="3" s="1"/>
  <c r="G332" i="3"/>
  <c r="F344" i="3"/>
  <c r="O344" i="3" s="1"/>
  <c r="K352" i="3"/>
  <c r="F379" i="3"/>
  <c r="G381" i="3"/>
  <c r="F381" i="3" s="1"/>
  <c r="L385" i="3"/>
  <c r="I403" i="3"/>
  <c r="F409" i="3"/>
  <c r="O409" i="3" s="1"/>
  <c r="I420" i="3"/>
  <c r="G440" i="3"/>
  <c r="F452" i="3"/>
  <c r="H508" i="3"/>
  <c r="F516" i="3"/>
  <c r="S516" i="3" s="1"/>
  <c r="M529" i="3"/>
  <c r="F537" i="3"/>
  <c r="O537" i="3" s="1"/>
  <c r="I578" i="3"/>
  <c r="F602" i="3"/>
  <c r="I606" i="3"/>
  <c r="F319" i="3"/>
  <c r="L153" i="3"/>
  <c r="M190" i="3"/>
  <c r="M382" i="3"/>
  <c r="L397" i="3"/>
  <c r="K529" i="3"/>
  <c r="I111" i="3"/>
  <c r="J139" i="3"/>
  <c r="J155" i="3"/>
  <c r="G128" i="3"/>
  <c r="J166" i="3"/>
  <c r="F166" i="3" s="1"/>
  <c r="M172" i="3"/>
  <c r="I176" i="3"/>
  <c r="I183" i="3"/>
  <c r="I186" i="3"/>
  <c r="F189" i="3"/>
  <c r="S189" i="3" s="1"/>
  <c r="G200" i="3"/>
  <c r="H209" i="3"/>
  <c r="M220" i="3"/>
  <c r="G226" i="3"/>
  <c r="F231" i="3"/>
  <c r="M234" i="3"/>
  <c r="G244" i="3"/>
  <c r="J253" i="3"/>
  <c r="L265" i="3"/>
  <c r="J270" i="3"/>
  <c r="G274" i="3"/>
  <c r="F279" i="3"/>
  <c r="G288" i="3"/>
  <c r="L297" i="3"/>
  <c r="G308" i="3"/>
  <c r="J315" i="3"/>
  <c r="J318" i="3"/>
  <c r="G326" i="3"/>
  <c r="H332" i="3"/>
  <c r="G341" i="3"/>
  <c r="G348" i="3"/>
  <c r="G350" i="3" s="1"/>
  <c r="H373" i="3"/>
  <c r="J403" i="3"/>
  <c r="J406" i="3"/>
  <c r="F423" i="3"/>
  <c r="J430" i="3"/>
  <c r="F430" i="3" s="1"/>
  <c r="J433" i="3"/>
  <c r="F451" i="3"/>
  <c r="F457" i="3"/>
  <c r="S457" i="3" s="1"/>
  <c r="J459" i="3"/>
  <c r="M470" i="3"/>
  <c r="L473" i="3"/>
  <c r="J491" i="3"/>
  <c r="F497" i="3"/>
  <c r="S497" i="3" s="1"/>
  <c r="F541" i="3"/>
  <c r="O541" i="3" s="1"/>
  <c r="G549" i="3"/>
  <c r="J565" i="3"/>
  <c r="G572" i="3"/>
  <c r="J578" i="3"/>
  <c r="F598" i="3"/>
  <c r="J606" i="3"/>
  <c r="J210" i="3"/>
  <c r="F210" i="3" s="1"/>
  <c r="J176" i="3"/>
  <c r="J186" i="3"/>
  <c r="G194" i="3"/>
  <c r="F196" i="3"/>
  <c r="S196" i="3" s="1"/>
  <c r="J221" i="3"/>
  <c r="H226" i="3"/>
  <c r="H244" i="3"/>
  <c r="F252" i="3"/>
  <c r="S252" i="3" s="1"/>
  <c r="K253" i="3"/>
  <c r="M265" i="3"/>
  <c r="H274" i="3"/>
  <c r="F277" i="3"/>
  <c r="S277" i="3" s="1"/>
  <c r="G282" i="3"/>
  <c r="F284" i="3"/>
  <c r="S284" i="3" s="1"/>
  <c r="H288" i="3"/>
  <c r="M297" i="3"/>
  <c r="H308" i="3"/>
  <c r="F317" i="3"/>
  <c r="O317" i="3" s="1"/>
  <c r="K318" i="3"/>
  <c r="H326" i="3"/>
  <c r="I332" i="3"/>
  <c r="G358" i="3"/>
  <c r="I373" i="3"/>
  <c r="J386" i="3"/>
  <c r="F386" i="3" s="1"/>
  <c r="J389" i="3"/>
  <c r="F405" i="3"/>
  <c r="O405" i="3" s="1"/>
  <c r="K406" i="3"/>
  <c r="H414" i="3"/>
  <c r="K433" i="3"/>
  <c r="J462" i="3"/>
  <c r="F467" i="3"/>
  <c r="G474" i="3"/>
  <c r="F474" i="3" s="1"/>
  <c r="H484" i="3"/>
  <c r="L492" i="3"/>
  <c r="J494" i="3"/>
  <c r="G502" i="3"/>
  <c r="F511" i="3"/>
  <c r="G513" i="3"/>
  <c r="J518" i="3"/>
  <c r="F518" i="3" s="1"/>
  <c r="J521" i="3"/>
  <c r="G546" i="3"/>
  <c r="F546" i="3" s="1"/>
  <c r="H549" i="3"/>
  <c r="G561" i="3"/>
  <c r="H572" i="3"/>
  <c r="H579" i="3"/>
  <c r="F589" i="3"/>
  <c r="O589" i="3" s="1"/>
  <c r="F594" i="3"/>
  <c r="G601" i="3"/>
  <c r="F608" i="3"/>
  <c r="I616" i="3"/>
  <c r="L426" i="3"/>
  <c r="F426" i="3" s="1"/>
  <c r="L128" i="3"/>
  <c r="G112" i="3"/>
  <c r="H140" i="3"/>
  <c r="G144" i="3"/>
  <c r="F144" i="3" s="1"/>
  <c r="F152" i="3"/>
  <c r="O152" i="3" s="1"/>
  <c r="M128" i="3"/>
  <c r="I177" i="3"/>
  <c r="F185" i="3"/>
  <c r="S185" i="3" s="1"/>
  <c r="K186" i="3"/>
  <c r="I200" i="3"/>
  <c r="J209" i="3"/>
  <c r="K221" i="3"/>
  <c r="J226" i="3"/>
  <c r="G230" i="3"/>
  <c r="F235" i="3"/>
  <c r="J244" i="3"/>
  <c r="G249" i="3"/>
  <c r="F254" i="3"/>
  <c r="M253" i="3"/>
  <c r="H271" i="3"/>
  <c r="I274" i="3"/>
  <c r="I288" i="3"/>
  <c r="J298" i="3"/>
  <c r="F298" i="3" s="1"/>
  <c r="J301" i="3"/>
  <c r="J308" i="3"/>
  <c r="L318" i="3"/>
  <c r="J332" i="3"/>
  <c r="I341" i="3"/>
  <c r="J353" i="3"/>
  <c r="H358" i="3"/>
  <c r="K366" i="3"/>
  <c r="J373" i="3"/>
  <c r="I396" i="3"/>
  <c r="L406" i="3"/>
  <c r="I414" i="3"/>
  <c r="G417" i="3"/>
  <c r="I425" i="3"/>
  <c r="F425" i="3" s="1"/>
  <c r="J440" i="3"/>
  <c r="K454" i="3"/>
  <c r="I484" i="3"/>
  <c r="F493" i="3"/>
  <c r="O493" i="3" s="1"/>
  <c r="K494" i="3"/>
  <c r="H502" i="3"/>
  <c r="H513" i="3"/>
  <c r="H528" i="3"/>
  <c r="G557" i="3"/>
  <c r="I579" i="3"/>
  <c r="J616" i="3"/>
  <c r="F124" i="3"/>
  <c r="S124" i="3" s="1"/>
  <c r="H250" i="3"/>
  <c r="F250" i="3" s="1"/>
  <c r="F105" i="3"/>
  <c r="O105" i="3" s="1"/>
  <c r="M498" i="3"/>
  <c r="H106" i="3"/>
  <c r="L186" i="3"/>
  <c r="L221" i="3"/>
  <c r="H230" i="3"/>
  <c r="F233" i="3"/>
  <c r="S233" i="3" s="1"/>
  <c r="F247" i="3"/>
  <c r="K274" i="3"/>
  <c r="G293" i="3"/>
  <c r="K308" i="3"/>
  <c r="M318" i="3"/>
  <c r="G329" i="3"/>
  <c r="F335" i="3"/>
  <c r="F340" i="3"/>
  <c r="S340" i="3" s="1"/>
  <c r="K353" i="3"/>
  <c r="I358" i="3"/>
  <c r="M406" i="3"/>
  <c r="H417" i="3"/>
  <c r="I464" i="3"/>
  <c r="G469" i="3"/>
  <c r="K477" i="3"/>
  <c r="J484" i="3"/>
  <c r="F496" i="3"/>
  <c r="L494" i="3"/>
  <c r="G505" i="3"/>
  <c r="I513" i="3"/>
  <c r="L521" i="3"/>
  <c r="I528" i="3"/>
  <c r="G550" i="3"/>
  <c r="H557" i="3"/>
  <c r="I561" i="3"/>
  <c r="J572" i="3"/>
  <c r="G593" i="3"/>
  <c r="G617" i="3"/>
  <c r="F120" i="3"/>
  <c r="S120" i="3" s="1"/>
  <c r="F187" i="3"/>
  <c r="G142" i="3"/>
  <c r="H178" i="3"/>
  <c r="M186" i="3"/>
  <c r="G197" i="3"/>
  <c r="F203" i="3"/>
  <c r="G205" i="3"/>
  <c r="L209" i="3"/>
  <c r="M221" i="3"/>
  <c r="H227" i="3"/>
  <c r="I230" i="3"/>
  <c r="I249" i="3"/>
  <c r="H264" i="3"/>
  <c r="J271" i="3"/>
  <c r="L274" i="3"/>
  <c r="G285" i="3"/>
  <c r="F291" i="3"/>
  <c r="H293" i="3"/>
  <c r="L308" i="3"/>
  <c r="H329" i="3"/>
  <c r="G337" i="3"/>
  <c r="K341" i="3"/>
  <c r="L353" i="3"/>
  <c r="J358" i="3"/>
  <c r="F363" i="3"/>
  <c r="M366" i="3"/>
  <c r="H374" i="3"/>
  <c r="M389" i="3"/>
  <c r="K396" i="3"/>
  <c r="F407" i="3"/>
  <c r="I417" i="3"/>
  <c r="L440" i="3"/>
  <c r="M454" i="3"/>
  <c r="H469" i="3"/>
  <c r="L477" i="3"/>
  <c r="L484" i="3"/>
  <c r="M494" i="3"/>
  <c r="G503" i="3"/>
  <c r="H505" i="3"/>
  <c r="M521" i="3"/>
  <c r="F527" i="3"/>
  <c r="S527" i="3" s="1"/>
  <c r="J528" i="3"/>
  <c r="G534" i="3"/>
  <c r="G538" i="3"/>
  <c r="G547" i="3"/>
  <c r="F547" i="3" s="1"/>
  <c r="H550" i="3"/>
  <c r="J561" i="3"/>
  <c r="J573" i="3"/>
  <c r="F573" i="3" s="1"/>
  <c r="Q573" i="3" s="1"/>
  <c r="J580" i="3"/>
  <c r="F580" i="3" s="1"/>
  <c r="S580" i="3" s="1"/>
  <c r="F585" i="3"/>
  <c r="S585" i="3" s="1"/>
  <c r="H617" i="3"/>
  <c r="I376" i="3"/>
  <c r="J117" i="3"/>
  <c r="F137" i="3"/>
  <c r="S137" i="3" s="1"/>
  <c r="G123" i="3"/>
  <c r="F123" i="3" s="1"/>
  <c r="H127" i="3"/>
  <c r="H167" i="3"/>
  <c r="F167" i="3" s="1"/>
  <c r="H197" i="3"/>
  <c r="H205" i="3"/>
  <c r="M209" i="3"/>
  <c r="I227" i="3"/>
  <c r="J230" i="3"/>
  <c r="G241" i="3"/>
  <c r="I264" i="3"/>
  <c r="M274" i="3"/>
  <c r="H285" i="3"/>
  <c r="I302" i="3"/>
  <c r="M308" i="3"/>
  <c r="G314" i="3"/>
  <c r="F314" i="3" s="1"/>
  <c r="Q314" i="3" s="1"/>
  <c r="I329" i="3"/>
  <c r="H337" i="3"/>
  <c r="L341" i="3"/>
  <c r="M353" i="3"/>
  <c r="G359" i="3"/>
  <c r="I374" i="3"/>
  <c r="F388" i="3"/>
  <c r="O388" i="3" s="1"/>
  <c r="L396" i="3"/>
  <c r="F413" i="3"/>
  <c r="S413" i="3" s="1"/>
  <c r="G418" i="3"/>
  <c r="G436" i="3"/>
  <c r="G438" i="3" s="1"/>
  <c r="M440" i="3"/>
  <c r="F455" i="3"/>
  <c r="I469" i="3"/>
  <c r="M484" i="3"/>
  <c r="F495" i="3"/>
  <c r="I505" i="3"/>
  <c r="F512" i="3"/>
  <c r="S512" i="3" s="1"/>
  <c r="L524" i="3"/>
  <c r="L525" i="3" s="1"/>
  <c r="F520" i="3"/>
  <c r="S520" i="3" s="1"/>
  <c r="K528" i="3"/>
  <c r="H534" i="3"/>
  <c r="H538" i="3"/>
  <c r="I550" i="3"/>
  <c r="I562" i="3"/>
  <c r="F562" i="3" s="1"/>
  <c r="F581" i="3"/>
  <c r="S581" i="3" s="1"/>
  <c r="G590" i="3"/>
  <c r="F590" i="3" s="1"/>
  <c r="F604" i="3"/>
  <c r="O604" i="3" s="1"/>
  <c r="G609" i="3"/>
  <c r="J617" i="3"/>
  <c r="H588" i="3"/>
  <c r="I595" i="3"/>
  <c r="J611" i="3"/>
  <c r="F611" i="3" s="1"/>
  <c r="I588" i="3"/>
  <c r="J595" i="3"/>
  <c r="G607" i="3"/>
  <c r="G579" i="3"/>
  <c r="H586" i="3"/>
  <c r="F586" i="3" s="1"/>
  <c r="Q586" i="3" s="1"/>
  <c r="J588" i="3"/>
  <c r="G591" i="3"/>
  <c r="F591" i="3" s="1"/>
  <c r="I593" i="3"/>
  <c r="I601" i="3"/>
  <c r="H607" i="3"/>
  <c r="J609" i="3"/>
  <c r="G612" i="3"/>
  <c r="I617" i="3"/>
  <c r="F577" i="3"/>
  <c r="S577" i="3" s="1"/>
  <c r="G584" i="3"/>
  <c r="J593" i="3"/>
  <c r="J601" i="3"/>
  <c r="G605" i="3"/>
  <c r="F605" i="3" s="1"/>
  <c r="Q605" i="3" s="1"/>
  <c r="I607" i="3"/>
  <c r="H584" i="3"/>
  <c r="J607" i="3"/>
  <c r="I584" i="3"/>
  <c r="I596" i="3"/>
  <c r="G618" i="3"/>
  <c r="J584" i="3"/>
  <c r="F592" i="3"/>
  <c r="O592" i="3" s="1"/>
  <c r="J596" i="3"/>
  <c r="F600" i="3"/>
  <c r="S600" i="3" s="1"/>
  <c r="H618" i="3"/>
  <c r="F540" i="3"/>
  <c r="G570" i="3"/>
  <c r="F570" i="3" s="1"/>
  <c r="F568" i="3"/>
  <c r="S568" i="3" s="1"/>
  <c r="G569" i="3"/>
  <c r="F569" i="3" s="1"/>
  <c r="H544" i="3"/>
  <c r="G567" i="3"/>
  <c r="I544" i="3"/>
  <c r="F551" i="3"/>
  <c r="H567" i="3"/>
  <c r="G544" i="3"/>
  <c r="J544" i="3"/>
  <c r="I567" i="3"/>
  <c r="F536" i="3"/>
  <c r="Q536" i="3" s="1"/>
  <c r="F535" i="3"/>
  <c r="S535" i="3" s="1"/>
  <c r="J567" i="3"/>
  <c r="G563" i="3"/>
  <c r="G566" i="3"/>
  <c r="G574" i="3"/>
  <c r="H563" i="3"/>
  <c r="H566" i="3"/>
  <c r="H574" i="3"/>
  <c r="F533" i="3"/>
  <c r="O533" i="3" s="1"/>
  <c r="J534" i="3"/>
  <c r="F548" i="3"/>
  <c r="O548" i="3" s="1"/>
  <c r="J549" i="3"/>
  <c r="J552" i="3"/>
  <c r="I566" i="3"/>
  <c r="I574" i="3"/>
  <c r="G542" i="3"/>
  <c r="F542" i="3" s="1"/>
  <c r="Q542" i="3" s="1"/>
  <c r="G565" i="3"/>
  <c r="F565" i="3" s="1"/>
  <c r="Q565" i="3" s="1"/>
  <c r="M525" i="3"/>
  <c r="M526" i="3"/>
  <c r="G526" i="3"/>
  <c r="G525" i="3"/>
  <c r="L507" i="3"/>
  <c r="G523" i="3"/>
  <c r="M492" i="3"/>
  <c r="I500" i="3"/>
  <c r="M507" i="3"/>
  <c r="H523" i="3"/>
  <c r="K492" i="3"/>
  <c r="H500" i="3"/>
  <c r="J500" i="3"/>
  <c r="I523" i="3"/>
  <c r="K491" i="3"/>
  <c r="K503" i="3"/>
  <c r="K506" i="3"/>
  <c r="J523" i="3"/>
  <c r="L491" i="3"/>
  <c r="L503" i="3"/>
  <c r="L506" i="3"/>
  <c r="G519" i="3"/>
  <c r="G522" i="3"/>
  <c r="G530" i="3"/>
  <c r="M491" i="3"/>
  <c r="M503" i="3"/>
  <c r="M506" i="3"/>
  <c r="H519" i="3"/>
  <c r="H522" i="3"/>
  <c r="H530" i="3"/>
  <c r="F489" i="3"/>
  <c r="S489" i="3" s="1"/>
  <c r="J490" i="3"/>
  <c r="F490" i="3" s="1"/>
  <c r="S490" i="3" s="1"/>
  <c r="F504" i="3"/>
  <c r="S504" i="3" s="1"/>
  <c r="J505" i="3"/>
  <c r="J508" i="3"/>
  <c r="M517" i="3"/>
  <c r="F517" i="3" s="1"/>
  <c r="S517" i="3" s="1"/>
  <c r="I519" i="3"/>
  <c r="I522" i="3"/>
  <c r="I530" i="3"/>
  <c r="G500" i="3"/>
  <c r="K507" i="3"/>
  <c r="G498" i="3"/>
  <c r="K505" i="3"/>
  <c r="L505" i="3"/>
  <c r="G521" i="3"/>
  <c r="M505" i="3"/>
  <c r="L519" i="3"/>
  <c r="M519" i="3"/>
  <c r="L481" i="3"/>
  <c r="L482" i="3"/>
  <c r="F458" i="3"/>
  <c r="M481" i="3"/>
  <c r="M482" i="3"/>
  <c r="G482" i="3"/>
  <c r="F480" i="3"/>
  <c r="O480" i="3" s="1"/>
  <c r="G481" i="3"/>
  <c r="L448" i="3"/>
  <c r="H456" i="3"/>
  <c r="L463" i="3"/>
  <c r="G479" i="3"/>
  <c r="M448" i="3"/>
  <c r="I456" i="3"/>
  <c r="M463" i="3"/>
  <c r="H479" i="3"/>
  <c r="G456" i="3"/>
  <c r="K463" i="3"/>
  <c r="F449" i="3"/>
  <c r="O449" i="3" s="1"/>
  <c r="J456" i="3"/>
  <c r="I479" i="3"/>
  <c r="K448" i="3"/>
  <c r="K447" i="3"/>
  <c r="K459" i="3"/>
  <c r="K462" i="3"/>
  <c r="F468" i="3"/>
  <c r="S468" i="3" s="1"/>
  <c r="F472" i="3"/>
  <c r="O472" i="3" s="1"/>
  <c r="J479" i="3"/>
  <c r="F483" i="3"/>
  <c r="O483" i="3" s="1"/>
  <c r="H446" i="3"/>
  <c r="L447" i="3"/>
  <c r="L450" i="3"/>
  <c r="L459" i="3"/>
  <c r="H461" i="3"/>
  <c r="L462" i="3"/>
  <c r="H464" i="3"/>
  <c r="K473" i="3"/>
  <c r="G478" i="3"/>
  <c r="K484" i="3"/>
  <c r="M447" i="3"/>
  <c r="M459" i="3"/>
  <c r="M462" i="3"/>
  <c r="H475" i="3"/>
  <c r="H478" i="3"/>
  <c r="H486" i="3"/>
  <c r="F445" i="3"/>
  <c r="S445" i="3" s="1"/>
  <c r="J446" i="3"/>
  <c r="F460" i="3"/>
  <c r="O460" i="3" s="1"/>
  <c r="J461" i="3"/>
  <c r="J464" i="3"/>
  <c r="M473" i="3"/>
  <c r="I475" i="3"/>
  <c r="I478" i="3"/>
  <c r="I486" i="3"/>
  <c r="G454" i="3"/>
  <c r="K461" i="3"/>
  <c r="L461" i="3"/>
  <c r="G477" i="3"/>
  <c r="M461" i="3"/>
  <c r="L475" i="3"/>
  <c r="M475" i="3"/>
  <c r="F408" i="3"/>
  <c r="L437" i="3"/>
  <c r="L438" i="3"/>
  <c r="M437" i="3"/>
  <c r="M438" i="3"/>
  <c r="M404" i="3"/>
  <c r="I412" i="3"/>
  <c r="M419" i="3"/>
  <c r="H435" i="3"/>
  <c r="L404" i="3"/>
  <c r="L419" i="3"/>
  <c r="J412" i="3"/>
  <c r="I435" i="3"/>
  <c r="K403" i="3"/>
  <c r="K415" i="3"/>
  <c r="K418" i="3"/>
  <c r="F424" i="3"/>
  <c r="O424" i="3" s="1"/>
  <c r="F428" i="3"/>
  <c r="O428" i="3" s="1"/>
  <c r="J435" i="3"/>
  <c r="F439" i="3"/>
  <c r="S439" i="3" s="1"/>
  <c r="H412" i="3"/>
  <c r="L403" i="3"/>
  <c r="L415" i="3"/>
  <c r="L418" i="3"/>
  <c r="G431" i="3"/>
  <c r="G434" i="3"/>
  <c r="G442" i="3"/>
  <c r="M403" i="3"/>
  <c r="M415" i="3"/>
  <c r="M418" i="3"/>
  <c r="H431" i="3"/>
  <c r="H434" i="3"/>
  <c r="H442" i="3"/>
  <c r="G435" i="3"/>
  <c r="F401" i="3"/>
  <c r="S401" i="3" s="1"/>
  <c r="J402" i="3"/>
  <c r="F416" i="3"/>
  <c r="O416" i="3" s="1"/>
  <c r="J417" i="3"/>
  <c r="J420" i="3"/>
  <c r="M429" i="3"/>
  <c r="I431" i="3"/>
  <c r="I434" i="3"/>
  <c r="I442" i="3"/>
  <c r="G412" i="3"/>
  <c r="K419" i="3"/>
  <c r="K402" i="3"/>
  <c r="G410" i="3"/>
  <c r="F410" i="3" s="1"/>
  <c r="S410" i="3" s="1"/>
  <c r="K417" i="3"/>
  <c r="L417" i="3"/>
  <c r="G433" i="3"/>
  <c r="M417" i="3"/>
  <c r="L431" i="3"/>
  <c r="M431" i="3"/>
  <c r="L394" i="3"/>
  <c r="L393" i="3"/>
  <c r="M393" i="3"/>
  <c r="M394" i="3"/>
  <c r="G394" i="3"/>
  <c r="F392" i="3"/>
  <c r="O392" i="3" s="1"/>
  <c r="G393" i="3"/>
  <c r="F364" i="3"/>
  <c r="G368" i="3"/>
  <c r="L360" i="3"/>
  <c r="H368" i="3"/>
  <c r="L375" i="3"/>
  <c r="F375" i="3" s="1"/>
  <c r="G391" i="3"/>
  <c r="M360" i="3"/>
  <c r="J368" i="3"/>
  <c r="I391" i="3"/>
  <c r="H391" i="3"/>
  <c r="K359" i="3"/>
  <c r="K371" i="3"/>
  <c r="K374" i="3"/>
  <c r="F380" i="3"/>
  <c r="O380" i="3" s="1"/>
  <c r="F384" i="3"/>
  <c r="S384" i="3" s="1"/>
  <c r="J391" i="3"/>
  <c r="F395" i="3"/>
  <c r="S395" i="3" s="1"/>
  <c r="L359" i="3"/>
  <c r="L371" i="3"/>
  <c r="L374" i="3"/>
  <c r="G387" i="3"/>
  <c r="G390" i="3"/>
  <c r="G398" i="3"/>
  <c r="I368" i="3"/>
  <c r="M359" i="3"/>
  <c r="M371" i="3"/>
  <c r="M374" i="3"/>
  <c r="H387" i="3"/>
  <c r="H390" i="3"/>
  <c r="H398" i="3"/>
  <c r="F357" i="3"/>
  <c r="S357" i="3" s="1"/>
  <c r="F369" i="3"/>
  <c r="F372" i="3"/>
  <c r="O372" i="3" s="1"/>
  <c r="I387" i="3"/>
  <c r="I390" i="3"/>
  <c r="I398" i="3"/>
  <c r="K358" i="3"/>
  <c r="G366" i="3"/>
  <c r="K373" i="3"/>
  <c r="K376" i="3"/>
  <c r="L373" i="3"/>
  <c r="G389" i="3"/>
  <c r="M373" i="3"/>
  <c r="M376" i="3"/>
  <c r="L387" i="3"/>
  <c r="M387" i="3"/>
  <c r="L349" i="3"/>
  <c r="L350" i="3"/>
  <c r="F320" i="3"/>
  <c r="M316" i="3"/>
  <c r="I324" i="3"/>
  <c r="M331" i="3"/>
  <c r="H347" i="3"/>
  <c r="J324" i="3"/>
  <c r="I347" i="3"/>
  <c r="G324" i="3"/>
  <c r="K315" i="3"/>
  <c r="K327" i="3"/>
  <c r="K330" i="3"/>
  <c r="J347" i="3"/>
  <c r="L315" i="3"/>
  <c r="L327" i="3"/>
  <c r="L330" i="3"/>
  <c r="G343" i="3"/>
  <c r="G346" i="3"/>
  <c r="G354" i="3"/>
  <c r="K331" i="3"/>
  <c r="M315" i="3"/>
  <c r="M327" i="3"/>
  <c r="M330" i="3"/>
  <c r="H343" i="3"/>
  <c r="H346" i="3"/>
  <c r="H354" i="3"/>
  <c r="F313" i="3"/>
  <c r="S313" i="3" s="1"/>
  <c r="F325" i="3"/>
  <c r="F328" i="3"/>
  <c r="S328" i="3" s="1"/>
  <c r="I343" i="3"/>
  <c r="I346" i="3"/>
  <c r="I354" i="3"/>
  <c r="K316" i="3"/>
  <c r="L331" i="3"/>
  <c r="G322" i="3"/>
  <c r="K329" i="3"/>
  <c r="L316" i="3"/>
  <c r="G347" i="3"/>
  <c r="H322" i="3"/>
  <c r="L329" i="3"/>
  <c r="G345" i="3"/>
  <c r="M329" i="3"/>
  <c r="L343" i="3"/>
  <c r="M343" i="3"/>
  <c r="F276" i="3"/>
  <c r="L305" i="3"/>
  <c r="L306" i="3"/>
  <c r="M305" i="3"/>
  <c r="M306" i="3"/>
  <c r="F294" i="3"/>
  <c r="H303" i="3"/>
  <c r="G280" i="3"/>
  <c r="M272" i="3"/>
  <c r="F272" i="3" s="1"/>
  <c r="S272" i="3" s="1"/>
  <c r="F273" i="3"/>
  <c r="O273" i="3" s="1"/>
  <c r="J274" i="3"/>
  <c r="J280" i="3"/>
  <c r="I293" i="3"/>
  <c r="I297" i="3"/>
  <c r="M301" i="3"/>
  <c r="I303" i="3"/>
  <c r="I308" i="3"/>
  <c r="H280" i="3"/>
  <c r="L287" i="3"/>
  <c r="I280" i="3"/>
  <c r="K271" i="3"/>
  <c r="K283" i="3"/>
  <c r="K286" i="3"/>
  <c r="F292" i="3"/>
  <c r="S292" i="3" s="1"/>
  <c r="F296" i="3"/>
  <c r="S296" i="3" s="1"/>
  <c r="J303" i="3"/>
  <c r="F307" i="3"/>
  <c r="O307" i="3" s="1"/>
  <c r="L271" i="3"/>
  <c r="L283" i="3"/>
  <c r="L286" i="3"/>
  <c r="G299" i="3"/>
  <c r="G302" i="3"/>
  <c r="G310" i="3"/>
  <c r="M287" i="3"/>
  <c r="M271" i="3"/>
  <c r="M283" i="3"/>
  <c r="M286" i="3"/>
  <c r="H299" i="3"/>
  <c r="H302" i="3"/>
  <c r="H310" i="3"/>
  <c r="F269" i="3"/>
  <c r="S269" i="3" s="1"/>
  <c r="K270" i="3"/>
  <c r="G278" i="3"/>
  <c r="K282" i="3"/>
  <c r="K285" i="3"/>
  <c r="K288" i="3"/>
  <c r="K287" i="3"/>
  <c r="G303" i="3"/>
  <c r="I310" i="3"/>
  <c r="L270" i="3"/>
  <c r="L285" i="3"/>
  <c r="G301" i="3"/>
  <c r="I299" i="3"/>
  <c r="M285" i="3"/>
  <c r="L299" i="3"/>
  <c r="M299" i="3"/>
  <c r="F232" i="3"/>
  <c r="L261" i="3"/>
  <c r="L262" i="3"/>
  <c r="M261" i="3"/>
  <c r="M262" i="3"/>
  <c r="G262" i="3"/>
  <c r="F260" i="3"/>
  <c r="O260" i="3" s="1"/>
  <c r="G261" i="3"/>
  <c r="F238" i="3"/>
  <c r="K243" i="3"/>
  <c r="L228" i="3"/>
  <c r="H236" i="3"/>
  <c r="L243" i="3"/>
  <c r="G259" i="3"/>
  <c r="M228" i="3"/>
  <c r="I236" i="3"/>
  <c r="M243" i="3"/>
  <c r="H259" i="3"/>
  <c r="K228" i="3"/>
  <c r="F229" i="3"/>
  <c r="O229" i="3" s="1"/>
  <c r="J236" i="3"/>
  <c r="I259" i="3"/>
  <c r="K227" i="3"/>
  <c r="K239" i="3"/>
  <c r="K242" i="3"/>
  <c r="F248" i="3"/>
  <c r="O248" i="3" s="1"/>
  <c r="J259" i="3"/>
  <c r="G255" i="3"/>
  <c r="G258" i="3"/>
  <c r="G266" i="3"/>
  <c r="L239" i="3"/>
  <c r="L242" i="3"/>
  <c r="I226" i="3"/>
  <c r="M227" i="3"/>
  <c r="M230" i="3"/>
  <c r="M239" i="3"/>
  <c r="I241" i="3"/>
  <c r="M242" i="3"/>
  <c r="I244" i="3"/>
  <c r="L253" i="3"/>
  <c r="H255" i="3"/>
  <c r="H258" i="3"/>
  <c r="H266" i="3"/>
  <c r="F237" i="3"/>
  <c r="O237" i="3" s="1"/>
  <c r="F240" i="3"/>
  <c r="O240" i="3" s="1"/>
  <c r="I255" i="3"/>
  <c r="I258" i="3"/>
  <c r="I266" i="3"/>
  <c r="L227" i="3"/>
  <c r="K226" i="3"/>
  <c r="G234" i="3"/>
  <c r="K241" i="3"/>
  <c r="L241" i="3"/>
  <c r="G257" i="3"/>
  <c r="F257" i="3" s="1"/>
  <c r="S257" i="3" s="1"/>
  <c r="G236" i="3"/>
  <c r="M241" i="3"/>
  <c r="L255" i="3"/>
  <c r="M255" i="3"/>
  <c r="L217" i="3"/>
  <c r="L218" i="3"/>
  <c r="F182" i="3"/>
  <c r="S182" i="3" s="1"/>
  <c r="F188" i="3"/>
  <c r="L184" i="3"/>
  <c r="M184" i="3"/>
  <c r="I215" i="3"/>
  <c r="K195" i="3"/>
  <c r="K198" i="3"/>
  <c r="F204" i="3"/>
  <c r="O204" i="3" s="1"/>
  <c r="F208" i="3"/>
  <c r="O208" i="3" s="1"/>
  <c r="J215" i="3"/>
  <c r="F219" i="3"/>
  <c r="S219" i="3" s="1"/>
  <c r="H215" i="3"/>
  <c r="K183" i="3"/>
  <c r="L183" i="3"/>
  <c r="L195" i="3"/>
  <c r="L198" i="3"/>
  <c r="G211" i="3"/>
  <c r="G214" i="3"/>
  <c r="G222" i="3"/>
  <c r="K184" i="3"/>
  <c r="M183" i="3"/>
  <c r="M195" i="3"/>
  <c r="M198" i="3"/>
  <c r="H211" i="3"/>
  <c r="H214" i="3"/>
  <c r="H222" i="3"/>
  <c r="F181" i="3"/>
  <c r="O181" i="3" s="1"/>
  <c r="I222" i="3"/>
  <c r="I214" i="3"/>
  <c r="G190" i="3"/>
  <c r="K194" i="3"/>
  <c r="K197" i="3"/>
  <c r="K200" i="3"/>
  <c r="G192" i="3"/>
  <c r="H192" i="3"/>
  <c r="L197" i="3"/>
  <c r="L200" i="3"/>
  <c r="G213" i="3"/>
  <c r="G216" i="3"/>
  <c r="J192" i="3"/>
  <c r="I190" i="3"/>
  <c r="M197" i="3"/>
  <c r="M200" i="3"/>
  <c r="L211" i="3"/>
  <c r="K199" i="3"/>
  <c r="F199" i="3" s="1"/>
  <c r="M211" i="3"/>
  <c r="K177" i="3"/>
  <c r="L177" i="3"/>
  <c r="M177" i="3"/>
  <c r="G178" i="3"/>
  <c r="K176" i="3"/>
  <c r="M176" i="3"/>
  <c r="L176" i="3"/>
  <c r="G171" i="3"/>
  <c r="K169" i="3"/>
  <c r="M169" i="3"/>
  <c r="L171" i="3"/>
  <c r="K165" i="3"/>
  <c r="L165" i="3"/>
  <c r="M165" i="3"/>
  <c r="M133" i="3"/>
  <c r="L133" i="3"/>
  <c r="G134" i="3"/>
  <c r="G132" i="3"/>
  <c r="M132" i="3"/>
  <c r="L134" i="3"/>
  <c r="L125" i="3"/>
  <c r="M125" i="3"/>
  <c r="K127" i="3"/>
  <c r="K121" i="3"/>
  <c r="L121" i="3"/>
  <c r="M121" i="3"/>
  <c r="H162" i="3"/>
  <c r="F162" i="3" s="1"/>
  <c r="G161" i="3"/>
  <c r="F161" i="3" s="1"/>
  <c r="G159" i="3"/>
  <c r="H159" i="3"/>
  <c r="G154" i="3"/>
  <c r="M155" i="3"/>
  <c r="G156" i="3"/>
  <c r="K154" i="3"/>
  <c r="I156" i="3"/>
  <c r="J156" i="3"/>
  <c r="L154" i="3"/>
  <c r="H153" i="3"/>
  <c r="M154" i="3"/>
  <c r="J154" i="3"/>
  <c r="I153" i="3"/>
  <c r="G155" i="3"/>
  <c r="L156" i="3"/>
  <c r="H154" i="3"/>
  <c r="H156" i="3"/>
  <c r="G150" i="3"/>
  <c r="H151" i="3"/>
  <c r="F151" i="3" s="1"/>
  <c r="K146" i="3"/>
  <c r="M146" i="3"/>
  <c r="L146" i="3"/>
  <c r="L142" i="3"/>
  <c r="K142" i="3"/>
  <c r="M142" i="3"/>
  <c r="K139" i="3"/>
  <c r="L139" i="3"/>
  <c r="M139" i="3"/>
  <c r="M138" i="3"/>
  <c r="K140" i="3"/>
  <c r="L140" i="3"/>
  <c r="H118" i="3"/>
  <c r="F118" i="3" s="1"/>
  <c r="I117" i="3"/>
  <c r="G117" i="3"/>
  <c r="M115" i="3"/>
  <c r="L115" i="3"/>
  <c r="H115" i="3"/>
  <c r="G115" i="3"/>
  <c r="J115" i="3"/>
  <c r="K111" i="3"/>
  <c r="M110" i="3"/>
  <c r="K112" i="3"/>
  <c r="L111" i="3"/>
  <c r="L110" i="3"/>
  <c r="M111" i="3"/>
  <c r="K107" i="3"/>
  <c r="G106" i="3"/>
  <c r="L107" i="3"/>
  <c r="M107" i="3"/>
  <c r="K106" i="3"/>
  <c r="L106" i="3"/>
  <c r="G108" i="3"/>
  <c r="F108" i="3" s="1"/>
  <c r="Q108" i="3" s="1"/>
  <c r="M106" i="3"/>
  <c r="G305" i="3" l="1"/>
  <c r="F282" i="3"/>
  <c r="F529" i="3"/>
  <c r="Q529" i="3" s="1"/>
  <c r="F498" i="3"/>
  <c r="Q498" i="3" s="1"/>
  <c r="Q257" i="3"/>
  <c r="G306" i="3"/>
  <c r="F306" i="3" s="1"/>
  <c r="F470" i="3"/>
  <c r="S573" i="3"/>
  <c r="Q410" i="3"/>
  <c r="S605" i="3"/>
  <c r="F486" i="3"/>
  <c r="Q486" i="3" s="1"/>
  <c r="F302" i="3"/>
  <c r="F572" i="3"/>
  <c r="Q572" i="3" s="1"/>
  <c r="O581" i="3"/>
  <c r="Q535" i="3"/>
  <c r="S498" i="3"/>
  <c r="G437" i="3"/>
  <c r="F441" i="3"/>
  <c r="Q441" i="3" s="1"/>
  <c r="S53" i="3"/>
  <c r="F436" i="3"/>
  <c r="S436" i="3" s="1"/>
  <c r="O281" i="3"/>
  <c r="S582" i="3"/>
  <c r="F194" i="3"/>
  <c r="E45" i="1"/>
  <c r="E21" i="5" s="1"/>
  <c r="G349" i="3"/>
  <c r="S536" i="3"/>
  <c r="F293" i="3"/>
  <c r="S314" i="3"/>
  <c r="Q69" i="3"/>
  <c r="S71" i="3"/>
  <c r="Q71" i="3"/>
  <c r="Q517" i="3"/>
  <c r="S565" i="3"/>
  <c r="S309" i="3"/>
  <c r="Q309" i="3"/>
  <c r="S256" i="3"/>
  <c r="O256" i="3"/>
  <c r="Q182" i="3"/>
  <c r="S70" i="3"/>
  <c r="Q70" i="3"/>
  <c r="Q272" i="3"/>
  <c r="Q490" i="3"/>
  <c r="O369" i="3"/>
  <c r="S369" i="3"/>
  <c r="S608" i="3"/>
  <c r="O608" i="3"/>
  <c r="S325" i="3"/>
  <c r="O325" i="3"/>
  <c r="F609" i="3"/>
  <c r="O600" i="3"/>
  <c r="F514" i="3"/>
  <c r="S108" i="3"/>
  <c r="Q35" i="3"/>
  <c r="S586" i="3"/>
  <c r="S542" i="3"/>
  <c r="Q362" i="3"/>
  <c r="F402" i="3"/>
  <c r="Q580" i="3"/>
  <c r="F244" i="3"/>
  <c r="F133" i="3"/>
  <c r="F288" i="3"/>
  <c r="O568" i="3"/>
  <c r="O269" i="3"/>
  <c r="O577" i="3"/>
  <c r="O313" i="3"/>
  <c r="O225" i="3"/>
  <c r="S416" i="3"/>
  <c r="S480" i="3"/>
  <c r="O189" i="3"/>
  <c r="S204" i="3"/>
  <c r="S548" i="3"/>
  <c r="S533" i="3"/>
  <c r="F221" i="3"/>
  <c r="F139" i="3"/>
  <c r="O149" i="3"/>
  <c r="S372" i="3"/>
  <c r="S501" i="3"/>
  <c r="S483" i="3"/>
  <c r="F366" i="3"/>
  <c r="F438" i="3"/>
  <c r="F454" i="3"/>
  <c r="O124" i="3"/>
  <c r="O468" i="3"/>
  <c r="O512" i="3"/>
  <c r="S493" i="3"/>
  <c r="S409" i="3"/>
  <c r="S453" i="3"/>
  <c r="S208" i="3"/>
  <c r="O564" i="3"/>
  <c r="F450" i="3"/>
  <c r="F549" i="3"/>
  <c r="O445" i="3"/>
  <c r="S229" i="3"/>
  <c r="S604" i="3"/>
  <c r="S405" i="3"/>
  <c r="S160" i="3"/>
  <c r="F159" i="3"/>
  <c r="F184" i="3"/>
  <c r="F385" i="3"/>
  <c r="O413" i="3"/>
  <c r="O476" i="3"/>
  <c r="S307" i="3"/>
  <c r="F322" i="3"/>
  <c r="O401" i="3"/>
  <c r="O120" i="3"/>
  <c r="S63" i="3"/>
  <c r="F253" i="3"/>
  <c r="O439" i="3"/>
  <c r="S460" i="3"/>
  <c r="S392" i="3"/>
  <c r="M218" i="3"/>
  <c r="F324" i="3"/>
  <c r="F414" i="3"/>
  <c r="O365" i="3"/>
  <c r="S344" i="3"/>
  <c r="O292" i="3"/>
  <c r="O336" i="3"/>
  <c r="O357" i="3"/>
  <c r="S248" i="3"/>
  <c r="O489" i="3"/>
  <c r="S181" i="3"/>
  <c r="S321" i="3"/>
  <c r="F310" i="3"/>
  <c r="F397" i="3"/>
  <c r="O520" i="3"/>
  <c r="O233" i="3"/>
  <c r="O277" i="3"/>
  <c r="O131" i="3"/>
  <c r="O164" i="3"/>
  <c r="S273" i="3"/>
  <c r="S541" i="3"/>
  <c r="S592" i="3"/>
  <c r="S589" i="3"/>
  <c r="S152" i="3"/>
  <c r="S388" i="3"/>
  <c r="S428" i="3"/>
  <c r="S240" i="3"/>
  <c r="O193" i="3"/>
  <c r="F264" i="3"/>
  <c r="O219" i="3"/>
  <c r="O296" i="3"/>
  <c r="M349" i="3"/>
  <c r="F274" i="3"/>
  <c r="F578" i="3"/>
  <c r="F507" i="3"/>
  <c r="O585" i="3"/>
  <c r="F150" i="3"/>
  <c r="F278" i="3"/>
  <c r="F561" i="3"/>
  <c r="O497" i="3"/>
  <c r="O351" i="3"/>
  <c r="O395" i="3"/>
  <c r="O252" i="3"/>
  <c r="O571" i="3"/>
  <c r="O284" i="3"/>
  <c r="S175" i="3"/>
  <c r="S317" i="3"/>
  <c r="S60" i="3"/>
  <c r="S260" i="3"/>
  <c r="S237" i="3"/>
  <c r="F429" i="3"/>
  <c r="S105" i="3"/>
  <c r="F550" i="3"/>
  <c r="F485" i="3"/>
  <c r="O340" i="3"/>
  <c r="O196" i="3"/>
  <c r="O527" i="3"/>
  <c r="O384" i="3"/>
  <c r="S472" i="3"/>
  <c r="S212" i="3"/>
  <c r="S449" i="3"/>
  <c r="O137" i="3"/>
  <c r="F374" i="3"/>
  <c r="F153" i="3"/>
  <c r="F234" i="3"/>
  <c r="F286" i="3"/>
  <c r="F316" i="3"/>
  <c r="F524" i="3"/>
  <c r="F222" i="3"/>
  <c r="F190" i="3"/>
  <c r="F214" i="3"/>
  <c r="F464" i="3"/>
  <c r="O328" i="3"/>
  <c r="O185" i="3"/>
  <c r="O516" i="3"/>
  <c r="S424" i="3"/>
  <c r="S537" i="3"/>
  <c r="S380" i="3"/>
  <c r="F508" i="3"/>
  <c r="F617" i="3"/>
  <c r="F127" i="3"/>
  <c r="F606" i="3"/>
  <c r="O504" i="3"/>
  <c r="F502" i="3"/>
  <c r="F406" i="3"/>
  <c r="O457" i="3"/>
  <c r="F32" i="3"/>
  <c r="O304" i="3"/>
  <c r="F353" i="3"/>
  <c r="F249" i="3"/>
  <c r="F433" i="3"/>
  <c r="F242" i="3"/>
  <c r="F285" i="3"/>
  <c r="F271" i="3"/>
  <c r="F331" i="3"/>
  <c r="F566" i="3"/>
  <c r="F165" i="3"/>
  <c r="F125" i="3"/>
  <c r="F28" i="3"/>
  <c r="F48" i="3"/>
  <c r="F27" i="3"/>
  <c r="F169" i="3"/>
  <c r="F230" i="3"/>
  <c r="F265" i="3"/>
  <c r="F121" i="3"/>
  <c r="F270" i="3"/>
  <c r="F308" i="3"/>
  <c r="F419" i="3"/>
  <c r="F337" i="3"/>
  <c r="F469" i="3"/>
  <c r="F350" i="3"/>
  <c r="F110" i="3"/>
  <c r="F51" i="3"/>
  <c r="F301" i="3"/>
  <c r="F389" i="3"/>
  <c r="F616" i="3"/>
  <c r="F513" i="3"/>
  <c r="F382" i="3"/>
  <c r="F459" i="3"/>
  <c r="F479" i="3"/>
  <c r="F332" i="3"/>
  <c r="F220" i="3"/>
  <c r="F521" i="3"/>
  <c r="F484" i="3"/>
  <c r="F503" i="3"/>
  <c r="F178" i="3"/>
  <c r="F462" i="3"/>
  <c r="F447" i="3"/>
  <c r="F396" i="3"/>
  <c r="F326" i="3"/>
  <c r="F358" i="3"/>
  <c r="F146" i="3"/>
  <c r="F213" i="3"/>
  <c r="F329" i="3"/>
  <c r="F330" i="3"/>
  <c r="F360" i="3"/>
  <c r="F492" i="3"/>
  <c r="F494" i="3"/>
  <c r="F318" i="3"/>
  <c r="F186" i="3"/>
  <c r="F107" i="3"/>
  <c r="F31" i="3"/>
  <c r="L174" i="3"/>
  <c r="L173" i="3"/>
  <c r="F195" i="3"/>
  <c r="F287" i="3"/>
  <c r="F327" i="3"/>
  <c r="F348" i="3"/>
  <c r="F491" i="3"/>
  <c r="F341" i="3"/>
  <c r="F176" i="3"/>
  <c r="F200" i="3"/>
  <c r="F183" i="3"/>
  <c r="F283" i="3"/>
  <c r="F315" i="3"/>
  <c r="F525" i="3"/>
  <c r="F596" i="3"/>
  <c r="M174" i="3"/>
  <c r="M173" i="3"/>
  <c r="G173" i="3"/>
  <c r="F172" i="3"/>
  <c r="G174" i="3"/>
  <c r="M130" i="3"/>
  <c r="M129" i="3"/>
  <c r="F552" i="3"/>
  <c r="F538" i="3"/>
  <c r="F140" i="3"/>
  <c r="F112" i="3"/>
  <c r="G129" i="3"/>
  <c r="G130" i="3"/>
  <c r="F128" i="3"/>
  <c r="F171" i="3"/>
  <c r="F477" i="3"/>
  <c r="F461" i="3"/>
  <c r="F448" i="3"/>
  <c r="L130" i="3"/>
  <c r="L129" i="3"/>
  <c r="F156" i="3"/>
  <c r="F154" i="3"/>
  <c r="F243" i="3"/>
  <c r="F420" i="3"/>
  <c r="F442" i="3"/>
  <c r="F415" i="3"/>
  <c r="F437" i="3"/>
  <c r="F534" i="3"/>
  <c r="F205" i="3"/>
  <c r="F227" i="3"/>
  <c r="F115" i="3"/>
  <c r="F155" i="3"/>
  <c r="F132" i="3"/>
  <c r="F226" i="3"/>
  <c r="F345" i="3"/>
  <c r="F434" i="3"/>
  <c r="F403" i="3"/>
  <c r="F506" i="3"/>
  <c r="L526" i="3"/>
  <c r="F526" i="3" s="1"/>
  <c r="F557" i="3"/>
  <c r="F111" i="3"/>
  <c r="F209" i="3"/>
  <c r="F261" i="3"/>
  <c r="F387" i="3"/>
  <c r="F394" i="3"/>
  <c r="F431" i="3"/>
  <c r="F475" i="3"/>
  <c r="F528" i="3"/>
  <c r="F198" i="3"/>
  <c r="F228" i="3"/>
  <c r="F418" i="3"/>
  <c r="F446" i="3"/>
  <c r="F463" i="3"/>
  <c r="F544" i="3"/>
  <c r="F579" i="3"/>
  <c r="F134" i="3"/>
  <c r="F262" i="3"/>
  <c r="F297" i="3"/>
  <c r="F371" i="3"/>
  <c r="F584" i="3"/>
  <c r="F607" i="3"/>
  <c r="F440" i="3"/>
  <c r="F241" i="3"/>
  <c r="F239" i="3"/>
  <c r="F106" i="3"/>
  <c r="F117" i="3"/>
  <c r="F215" i="3"/>
  <c r="F359" i="3"/>
  <c r="F404" i="3"/>
  <c r="F142" i="3"/>
  <c r="F177" i="3"/>
  <c r="F352" i="3"/>
  <c r="F138" i="3"/>
  <c r="F618" i="3"/>
  <c r="G614" i="3"/>
  <c r="F614" i="3" s="1"/>
  <c r="G613" i="3"/>
  <c r="F613" i="3" s="1"/>
  <c r="F612" i="3"/>
  <c r="F595" i="3"/>
  <c r="F588" i="3"/>
  <c r="F601" i="3"/>
  <c r="F593" i="3"/>
  <c r="F563" i="3"/>
  <c r="F567" i="3"/>
  <c r="F574" i="3"/>
  <c r="F522" i="3"/>
  <c r="F505" i="3"/>
  <c r="F519" i="3"/>
  <c r="F530" i="3"/>
  <c r="F523" i="3"/>
  <c r="F500" i="3"/>
  <c r="F456" i="3"/>
  <c r="F481" i="3"/>
  <c r="F478" i="3"/>
  <c r="F482" i="3"/>
  <c r="F473" i="3"/>
  <c r="F417" i="3"/>
  <c r="F435" i="3"/>
  <c r="F412" i="3"/>
  <c r="F391" i="3"/>
  <c r="F376" i="3"/>
  <c r="F373" i="3"/>
  <c r="F368" i="3"/>
  <c r="F398" i="3"/>
  <c r="F393" i="3"/>
  <c r="F390" i="3"/>
  <c r="F354" i="3"/>
  <c r="F346" i="3"/>
  <c r="F343" i="3"/>
  <c r="F347" i="3"/>
  <c r="F280" i="3"/>
  <c r="F299" i="3"/>
  <c r="F305" i="3"/>
  <c r="F303" i="3"/>
  <c r="F259" i="3"/>
  <c r="F236" i="3"/>
  <c r="F266" i="3"/>
  <c r="F258" i="3"/>
  <c r="F255" i="3"/>
  <c r="F192" i="3"/>
  <c r="F197" i="3"/>
  <c r="G218" i="3"/>
  <c r="F218" i="3" s="1"/>
  <c r="F216" i="3"/>
  <c r="G217" i="3"/>
  <c r="F217" i="3" s="1"/>
  <c r="F211" i="3"/>
  <c r="S529" i="3" l="1"/>
  <c r="F349" i="3"/>
  <c r="O436" i="3"/>
  <c r="S486" i="3"/>
  <c r="S441" i="3"/>
  <c r="S572" i="3"/>
  <c r="S271" i="3"/>
  <c r="Q271" i="3"/>
  <c r="S402" i="3"/>
  <c r="Q402" i="3"/>
  <c r="Q265" i="3"/>
  <c r="S265" i="3"/>
  <c r="Q209" i="3"/>
  <c r="S209" i="3"/>
  <c r="Q227" i="3"/>
  <c r="S227" i="3"/>
  <c r="Q448" i="3"/>
  <c r="S448" i="3"/>
  <c r="Q176" i="3"/>
  <c r="S176" i="3"/>
  <c r="Q318" i="3"/>
  <c r="S318" i="3"/>
  <c r="S389" i="3"/>
  <c r="Q389" i="3"/>
  <c r="S230" i="3"/>
  <c r="Q230" i="3"/>
  <c r="S433" i="3"/>
  <c r="Q433" i="3"/>
  <c r="Q316" i="3"/>
  <c r="S316" i="3"/>
  <c r="Q538" i="3"/>
  <c r="S538" i="3"/>
  <c r="S107" i="3"/>
  <c r="Q107" i="3"/>
  <c r="S253" i="3"/>
  <c r="Q253" i="3"/>
  <c r="Q579" i="3"/>
  <c r="S579" i="3"/>
  <c r="S617" i="3"/>
  <c r="Q617" i="3"/>
  <c r="Q341" i="3"/>
  <c r="S341" i="3"/>
  <c r="S494" i="3"/>
  <c r="Q494" i="3"/>
  <c r="Q178" i="3"/>
  <c r="S178" i="3"/>
  <c r="S301" i="3"/>
  <c r="Q301" i="3"/>
  <c r="S169" i="3"/>
  <c r="Q169" i="3"/>
  <c r="S485" i="3"/>
  <c r="Q485" i="3"/>
  <c r="Q454" i="3"/>
  <c r="S454" i="3"/>
  <c r="Q404" i="3"/>
  <c r="S404" i="3"/>
  <c r="S270" i="3"/>
  <c r="Q270" i="3"/>
  <c r="Q447" i="3"/>
  <c r="S447" i="3"/>
  <c r="Q446" i="3"/>
  <c r="S446" i="3"/>
  <c r="Q534" i="3"/>
  <c r="S534" i="3"/>
  <c r="S477" i="3"/>
  <c r="Q477" i="3"/>
  <c r="S491" i="3"/>
  <c r="Q491" i="3"/>
  <c r="S492" i="3"/>
  <c r="Q492" i="3"/>
  <c r="S27" i="3"/>
  <c r="Q27" i="3"/>
  <c r="Q353" i="3"/>
  <c r="S353" i="3"/>
  <c r="S234" i="3"/>
  <c r="Q234" i="3"/>
  <c r="Q264" i="3"/>
  <c r="S264" i="3"/>
  <c r="Q322" i="3"/>
  <c r="S322" i="3"/>
  <c r="S359" i="3"/>
  <c r="Q359" i="3"/>
  <c r="Q274" i="3"/>
  <c r="S274" i="3"/>
  <c r="S360" i="3"/>
  <c r="Q360" i="3"/>
  <c r="Q484" i="3"/>
  <c r="S484" i="3"/>
  <c r="S110" i="3"/>
  <c r="Q110" i="3"/>
  <c r="S366" i="3"/>
  <c r="Q366" i="3"/>
  <c r="S396" i="3"/>
  <c r="Q396" i="3"/>
  <c r="S186" i="3"/>
  <c r="Q186" i="3"/>
  <c r="S609" i="3"/>
  <c r="Q609" i="3"/>
  <c r="S106" i="3"/>
  <c r="Q106" i="3"/>
  <c r="Q521" i="3"/>
  <c r="S521" i="3"/>
  <c r="S429" i="3"/>
  <c r="Q429" i="3"/>
  <c r="S561" i="3"/>
  <c r="Q561" i="3"/>
  <c r="Q450" i="3"/>
  <c r="S450" i="3"/>
  <c r="S266" i="3"/>
  <c r="Q266" i="3"/>
  <c r="S31" i="3"/>
  <c r="Q31" i="3"/>
  <c r="S190" i="3"/>
  <c r="Q190" i="3"/>
  <c r="S222" i="3"/>
  <c r="Q222" i="3"/>
  <c r="S133" i="3"/>
  <c r="Q133" i="3"/>
  <c r="S398" i="3"/>
  <c r="Q398" i="3"/>
  <c r="S616" i="3"/>
  <c r="Q616" i="3"/>
  <c r="S111" i="3"/>
  <c r="Q111" i="3"/>
  <c r="S618" i="3"/>
  <c r="Q618" i="3"/>
  <c r="S228" i="3"/>
  <c r="Q228" i="3"/>
  <c r="S138" i="3"/>
  <c r="Q138" i="3"/>
  <c r="S403" i="3"/>
  <c r="Q403" i="3"/>
  <c r="S442" i="3"/>
  <c r="Q442" i="3"/>
  <c r="S220" i="3"/>
  <c r="Q220" i="3"/>
  <c r="S125" i="3"/>
  <c r="Q125" i="3"/>
  <c r="S278" i="3"/>
  <c r="Q278" i="3"/>
  <c r="S397" i="3"/>
  <c r="Q397" i="3"/>
  <c r="Q183" i="3"/>
  <c r="S183" i="3"/>
  <c r="Q440" i="3"/>
  <c r="S440" i="3"/>
  <c r="Q352" i="3"/>
  <c r="S352" i="3"/>
  <c r="S528" i="3"/>
  <c r="Q528" i="3"/>
  <c r="Q213" i="3"/>
  <c r="S213" i="3"/>
  <c r="Q165" i="3"/>
  <c r="S165" i="3"/>
  <c r="S406" i="3"/>
  <c r="Q406" i="3"/>
  <c r="S310" i="3"/>
  <c r="Q310" i="3"/>
  <c r="S385" i="3"/>
  <c r="Q385" i="3"/>
  <c r="Q221" i="3"/>
  <c r="S221" i="3"/>
  <c r="Q530" i="3"/>
  <c r="S530" i="3"/>
  <c r="S574" i="3"/>
  <c r="Q574" i="3"/>
  <c r="S473" i="3"/>
  <c r="Q473" i="3"/>
  <c r="Q177" i="3"/>
  <c r="S177" i="3"/>
  <c r="S345" i="3"/>
  <c r="Q345" i="3"/>
  <c r="S112" i="3"/>
  <c r="Q112" i="3"/>
  <c r="S146" i="3"/>
  <c r="Q146" i="3"/>
  <c r="Q184" i="3"/>
  <c r="S184" i="3"/>
  <c r="Q132" i="3"/>
  <c r="S132" i="3"/>
  <c r="S578" i="3"/>
  <c r="Q578" i="3"/>
  <c r="S134" i="3"/>
  <c r="Q134" i="3"/>
  <c r="S121" i="3"/>
  <c r="Q121" i="3"/>
  <c r="S354" i="3"/>
  <c r="Q354" i="3"/>
  <c r="S142" i="3"/>
  <c r="Q142" i="3"/>
  <c r="Q297" i="3"/>
  <c r="S297" i="3"/>
  <c r="S226" i="3"/>
  <c r="Q226" i="3"/>
  <c r="Q140" i="3"/>
  <c r="S140" i="3"/>
  <c r="Q315" i="3"/>
  <c r="S315" i="3"/>
  <c r="S358" i="3"/>
  <c r="Q358" i="3"/>
  <c r="Q308" i="3"/>
  <c r="S308" i="3"/>
  <c r="S139" i="3"/>
  <c r="Q139" i="3"/>
  <c r="O524" i="3"/>
  <c r="S524" i="3"/>
  <c r="O612" i="3"/>
  <c r="S612" i="3"/>
  <c r="S172" i="3"/>
  <c r="O172" i="3"/>
  <c r="O216" i="3"/>
  <c r="S216" i="3"/>
  <c r="O348" i="3"/>
  <c r="S348" i="3"/>
  <c r="S128" i="3"/>
  <c r="O128" i="3"/>
  <c r="F174" i="3"/>
  <c r="F173" i="3"/>
  <c r="F130" i="3"/>
  <c r="F129" i="3"/>
  <c r="F103" i="3" l="1"/>
  <c r="E24" i="1" s="1"/>
  <c r="G24" i="1" s="1"/>
  <c r="K104" i="3"/>
  <c r="L104" i="3"/>
  <c r="J104" i="3"/>
  <c r="I104" i="3"/>
  <c r="H104" i="3"/>
  <c r="G104" i="3"/>
  <c r="M104" i="3"/>
  <c r="K99" i="3"/>
  <c r="J99" i="3"/>
  <c r="H99" i="3"/>
  <c r="M98" i="3"/>
  <c r="L98" i="3"/>
  <c r="K98" i="3"/>
  <c r="J98" i="3"/>
  <c r="I98" i="3"/>
  <c r="H98" i="3"/>
  <c r="G98" i="3"/>
  <c r="F98" i="3" s="1"/>
  <c r="M97" i="3"/>
  <c r="L97" i="3"/>
  <c r="K97" i="3"/>
  <c r="J97" i="3"/>
  <c r="I97" i="3"/>
  <c r="H97" i="3"/>
  <c r="G97" i="3"/>
  <c r="K96" i="3"/>
  <c r="J96" i="3"/>
  <c r="H96" i="3"/>
  <c r="G96" i="3"/>
  <c r="K95" i="3"/>
  <c r="H95" i="3"/>
  <c r="M94" i="3"/>
  <c r="M95" i="3" s="1"/>
  <c r="L94" i="3"/>
  <c r="L96" i="3" s="1"/>
  <c r="K94" i="3"/>
  <c r="J94" i="3"/>
  <c r="J95" i="3" s="1"/>
  <c r="I94" i="3"/>
  <c r="I95" i="3" s="1"/>
  <c r="H94" i="3"/>
  <c r="G94" i="3"/>
  <c r="G95" i="3" s="1"/>
  <c r="S103" i="3" l="1"/>
  <c r="O103" i="3"/>
  <c r="F104" i="3"/>
  <c r="M99" i="3"/>
  <c r="M96" i="3"/>
  <c r="F97" i="3"/>
  <c r="G99" i="3"/>
  <c r="L95" i="3"/>
  <c r="F95" i="3" s="1"/>
  <c r="I99" i="3"/>
  <c r="I96" i="3"/>
  <c r="F96" i="3" s="1"/>
  <c r="L99" i="3"/>
  <c r="F94" i="3"/>
  <c r="M93" i="3"/>
  <c r="L93" i="3"/>
  <c r="K93" i="3"/>
  <c r="J93" i="3"/>
  <c r="I93" i="3"/>
  <c r="H93" i="3"/>
  <c r="G93" i="3"/>
  <c r="M92" i="3"/>
  <c r="L92" i="3"/>
  <c r="K92" i="3"/>
  <c r="J92" i="3"/>
  <c r="I92" i="3"/>
  <c r="H92" i="3"/>
  <c r="G92" i="3"/>
  <c r="M91" i="3"/>
  <c r="L91" i="3"/>
  <c r="K91" i="3"/>
  <c r="J91" i="3"/>
  <c r="I91" i="3"/>
  <c r="H91" i="3"/>
  <c r="G91" i="3"/>
  <c r="M90" i="3"/>
  <c r="L90" i="3"/>
  <c r="K90" i="3"/>
  <c r="J90" i="3"/>
  <c r="I90" i="3"/>
  <c r="H90" i="3"/>
  <c r="G90" i="3"/>
  <c r="M88" i="3"/>
  <c r="L88" i="3"/>
  <c r="K88" i="3"/>
  <c r="I88" i="3"/>
  <c r="H88" i="3"/>
  <c r="G88" i="3"/>
  <c r="M87" i="3"/>
  <c r="L87" i="3"/>
  <c r="K87" i="3"/>
  <c r="J87" i="3"/>
  <c r="I87" i="3"/>
  <c r="H87" i="3"/>
  <c r="G87" i="3"/>
  <c r="M86" i="3"/>
  <c r="L86" i="3"/>
  <c r="K86" i="3"/>
  <c r="J86" i="3"/>
  <c r="I86" i="3"/>
  <c r="H86" i="3"/>
  <c r="G86" i="3"/>
  <c r="F86" i="3" s="1"/>
  <c r="M85" i="3"/>
  <c r="M89" i="3" s="1"/>
  <c r="L85" i="3"/>
  <c r="L89" i="3" s="1"/>
  <c r="K85" i="3"/>
  <c r="K89" i="3" s="1"/>
  <c r="J85" i="3"/>
  <c r="J89" i="3" s="1"/>
  <c r="I85" i="3"/>
  <c r="I89" i="3" s="1"/>
  <c r="H85" i="3"/>
  <c r="H89" i="3" s="1"/>
  <c r="G85" i="3"/>
  <c r="F85" i="3" s="1"/>
  <c r="E23" i="1" s="1"/>
  <c r="G23" i="1" s="1"/>
  <c r="L83" i="3"/>
  <c r="K83" i="3"/>
  <c r="J83" i="3"/>
  <c r="I83" i="3"/>
  <c r="M82" i="3"/>
  <c r="M83" i="3" s="1"/>
  <c r="L82" i="3"/>
  <c r="K82" i="3"/>
  <c r="J82" i="3"/>
  <c r="I82" i="3"/>
  <c r="H82" i="3"/>
  <c r="G82" i="3"/>
  <c r="M80" i="3"/>
  <c r="G80" i="3"/>
  <c r="L80" i="3"/>
  <c r="K80" i="3"/>
  <c r="J80" i="3"/>
  <c r="I80" i="3"/>
  <c r="H80" i="3"/>
  <c r="M78" i="3"/>
  <c r="M81" i="3" s="1"/>
  <c r="L78" i="3"/>
  <c r="L81" i="3" s="1"/>
  <c r="K78" i="3"/>
  <c r="K81" i="3" s="1"/>
  <c r="J78" i="3"/>
  <c r="J81" i="3" s="1"/>
  <c r="I78" i="3"/>
  <c r="I79" i="3" s="1"/>
  <c r="H78" i="3"/>
  <c r="H81" i="3" s="1"/>
  <c r="G78" i="3"/>
  <c r="G81" i="3" s="1"/>
  <c r="M76" i="3"/>
  <c r="L76" i="3"/>
  <c r="K76" i="3"/>
  <c r="J76" i="3"/>
  <c r="I76" i="3"/>
  <c r="H76" i="3"/>
  <c r="G76" i="3"/>
  <c r="J75" i="3"/>
  <c r="H75" i="3"/>
  <c r="G75" i="3"/>
  <c r="M74" i="3"/>
  <c r="M77" i="3" s="1"/>
  <c r="L74" i="3"/>
  <c r="L77" i="3" s="1"/>
  <c r="K74" i="3"/>
  <c r="K77" i="3" s="1"/>
  <c r="J74" i="3"/>
  <c r="J77" i="3" s="1"/>
  <c r="I74" i="3"/>
  <c r="I75" i="3" s="1"/>
  <c r="H74" i="3"/>
  <c r="H77" i="3" s="1"/>
  <c r="G74" i="3"/>
  <c r="G77" i="3" s="1"/>
  <c r="J25" i="3"/>
  <c r="J24" i="3"/>
  <c r="M19" i="3"/>
  <c r="M22" i="3" s="1"/>
  <c r="L19" i="3"/>
  <c r="L20" i="3" s="1"/>
  <c r="K19" i="3"/>
  <c r="K20" i="3" s="1"/>
  <c r="J19" i="3"/>
  <c r="J20" i="3" s="1"/>
  <c r="I19" i="3"/>
  <c r="I23" i="3" s="1"/>
  <c r="H19" i="3"/>
  <c r="H21" i="3" s="1"/>
  <c r="G19" i="3"/>
  <c r="G21" i="3" s="1"/>
  <c r="S104" i="3" l="1"/>
  <c r="Q104" i="3"/>
  <c r="O85" i="3"/>
  <c r="S85" i="3"/>
  <c r="O94" i="3"/>
  <c r="S94" i="3"/>
  <c r="F92" i="3"/>
  <c r="F88" i="3"/>
  <c r="F80" i="3"/>
  <c r="J21" i="3"/>
  <c r="F99" i="3"/>
  <c r="K23" i="3"/>
  <c r="K25" i="3" s="1"/>
  <c r="L23" i="3"/>
  <c r="L25" i="3" s="1"/>
  <c r="M23" i="3"/>
  <c r="M25" i="3" s="1"/>
  <c r="J79" i="3"/>
  <c r="I81" i="3"/>
  <c r="F81" i="3" s="1"/>
  <c r="F87" i="3"/>
  <c r="G89" i="3"/>
  <c r="F89" i="3" s="1"/>
  <c r="F91" i="3"/>
  <c r="F93" i="3"/>
  <c r="F90" i="3"/>
  <c r="F76" i="3"/>
  <c r="I77" i="3"/>
  <c r="F77" i="3" s="1"/>
  <c r="E44" i="1" s="1"/>
  <c r="E20" i="5" s="1"/>
  <c r="I25" i="3"/>
  <c r="I24" i="3"/>
  <c r="G22" i="3"/>
  <c r="J22" i="3"/>
  <c r="H22" i="3"/>
  <c r="F74" i="3"/>
  <c r="F19" i="3"/>
  <c r="G83" i="3"/>
  <c r="G100" i="3"/>
  <c r="F82" i="3"/>
  <c r="F78" i="3"/>
  <c r="G20" i="3"/>
  <c r="H83" i="3"/>
  <c r="H100" i="3"/>
  <c r="I84" i="3"/>
  <c r="I100" i="3"/>
  <c r="H20" i="3"/>
  <c r="I20" i="3"/>
  <c r="J84" i="3"/>
  <c r="J100" i="3"/>
  <c r="I22" i="3"/>
  <c r="H23" i="3"/>
  <c r="H24" i="3" s="1"/>
  <c r="K84" i="3"/>
  <c r="K100" i="3"/>
  <c r="M84" i="3"/>
  <c r="M100" i="3"/>
  <c r="G23" i="3"/>
  <c r="G25" i="3" s="1"/>
  <c r="I21" i="3"/>
  <c r="L84" i="3"/>
  <c r="L100" i="3"/>
  <c r="G84" i="3"/>
  <c r="H84" i="3"/>
  <c r="G79" i="3"/>
  <c r="H79" i="3"/>
  <c r="K79" i="3"/>
  <c r="L79" i="3"/>
  <c r="M79" i="3"/>
  <c r="L75" i="3"/>
  <c r="K75" i="3"/>
  <c r="M75" i="3"/>
  <c r="L21" i="3"/>
  <c r="K22" i="3"/>
  <c r="K21" i="3"/>
  <c r="M20" i="3"/>
  <c r="L22" i="3"/>
  <c r="M21" i="3"/>
  <c r="F75" i="3" l="1"/>
  <c r="S74" i="3"/>
  <c r="O74" i="3"/>
  <c r="O78" i="3"/>
  <c r="S78" i="3"/>
  <c r="O82" i="3"/>
  <c r="S82" i="3"/>
  <c r="M24" i="3"/>
  <c r="F83" i="3"/>
  <c r="K24" i="3"/>
  <c r="L24" i="3"/>
  <c r="F84" i="3"/>
  <c r="H25" i="3"/>
  <c r="F25" i="3" s="1"/>
  <c r="F21" i="3"/>
  <c r="L102" i="3"/>
  <c r="L101" i="3"/>
  <c r="G102" i="3"/>
  <c r="F100" i="3"/>
  <c r="G101" i="3"/>
  <c r="I102" i="3"/>
  <c r="I101" i="3"/>
  <c r="M102" i="3"/>
  <c r="M101" i="3"/>
  <c r="F20" i="3"/>
  <c r="F22" i="3"/>
  <c r="F79" i="3"/>
  <c r="G24" i="3"/>
  <c r="F23" i="3"/>
  <c r="H101" i="3"/>
  <c r="H102" i="3"/>
  <c r="K102" i="3"/>
  <c r="K101" i="3"/>
  <c r="J102" i="3"/>
  <c r="J101" i="3"/>
  <c r="P20" i="3"/>
  <c r="N19" i="3"/>
  <c r="R19" i="3" s="1"/>
  <c r="S21" i="3" l="1"/>
  <c r="Q21" i="3"/>
  <c r="S22" i="3"/>
  <c r="Q22" i="3"/>
  <c r="S75" i="3"/>
  <c r="Q75" i="3"/>
  <c r="S79" i="3"/>
  <c r="Q79" i="3"/>
  <c r="S20" i="3"/>
  <c r="S100" i="3"/>
  <c r="O100" i="3"/>
  <c r="S23" i="3"/>
  <c r="O23" i="3"/>
  <c r="F24" i="3"/>
  <c r="F102" i="3"/>
  <c r="F101" i="3"/>
  <c r="O19" i="3"/>
  <c r="S19" i="3"/>
  <c r="Q20" i="3"/>
  <c r="R20" i="3"/>
  <c r="E73" i="1"/>
  <c r="A623" i="3" l="1"/>
  <c r="A53" i="1" l="1"/>
  <c r="E28" i="1" l="1"/>
  <c r="E7" i="5" s="1"/>
  <c r="E29" i="1"/>
  <c r="E8" i="5" s="1"/>
  <c r="E30" i="1"/>
  <c r="E9" i="5" s="1"/>
  <c r="E31" i="1"/>
  <c r="E10" i="5" s="1"/>
  <c r="E32" i="1"/>
  <c r="E33" i="1"/>
  <c r="E34" i="1"/>
  <c r="E11" i="5" s="1"/>
  <c r="E35" i="1"/>
  <c r="E12" i="5" s="1"/>
  <c r="E36" i="1"/>
  <c r="E13" i="5" s="1"/>
  <c r="E37" i="1"/>
  <c r="E38" i="1"/>
  <c r="E14" i="5" s="1"/>
  <c r="E39" i="1"/>
  <c r="E15" i="5" s="1"/>
  <c r="E40" i="1"/>
  <c r="E16" i="5" s="1"/>
  <c r="E41" i="1"/>
  <c r="E17" i="5" s="1"/>
  <c r="E42" i="1"/>
  <c r="E18" i="5" s="1"/>
  <c r="E43" i="1"/>
  <c r="E19" i="5" s="1"/>
  <c r="E46" i="1"/>
  <c r="E22" i="5" s="1"/>
  <c r="E47" i="1"/>
  <c r="E48" i="1"/>
  <c r="G48" i="1" s="1"/>
  <c r="E49" i="1"/>
  <c r="G49" i="1" s="1"/>
  <c r="E27" i="1"/>
  <c r="E6" i="5" s="1"/>
  <c r="G47" i="1" l="1"/>
  <c r="G33" i="1"/>
  <c r="G32" i="1"/>
  <c r="G37" i="1"/>
  <c r="S619" i="3"/>
  <c r="G51" i="1" l="1"/>
  <c r="S621" i="3"/>
  <c r="S622" i="3" s="1"/>
  <c r="E17" i="1"/>
  <c r="E18" i="1"/>
  <c r="E19" i="1"/>
  <c r="E20" i="1"/>
  <c r="E21" i="1"/>
  <c r="E22" i="1"/>
  <c r="E25" i="1"/>
  <c r="G52" i="1" l="1"/>
  <c r="S620" i="3"/>
  <c r="S623" i="3" s="1"/>
  <c r="S624" i="3" l="1"/>
  <c r="G20" i="1"/>
  <c r="G21" i="1"/>
  <c r="G22" i="1"/>
  <c r="G25" i="1"/>
  <c r="G19" i="1" l="1"/>
  <c r="G18" i="1"/>
  <c r="G17" i="1" l="1"/>
  <c r="G50" i="1" s="1"/>
  <c r="G53" i="1" l="1"/>
  <c r="G54" i="1" s="1"/>
</calcChain>
</file>

<file path=xl/sharedStrings.xml><?xml version="1.0" encoding="utf-8"?>
<sst xmlns="http://schemas.openxmlformats.org/spreadsheetml/2006/main" count="2549" uniqueCount="783">
  <si>
    <t>№ пп</t>
  </si>
  <si>
    <t>Наименование расценок/матералов</t>
  </si>
  <si>
    <t>Идентификатор СМР/ТМЦ</t>
  </si>
  <si>
    <t>Ед. изм.</t>
  </si>
  <si>
    <t>Общий объем</t>
  </si>
  <si>
    <t>Примечание подрядчика</t>
  </si>
  <si>
    <t>м</t>
  </si>
  <si>
    <t>ИТОГО стоимость ТМЦ</t>
  </si>
  <si>
    <t>ИТОГО стоимость СМР</t>
  </si>
  <si>
    <t>Тендерные условия</t>
  </si>
  <si>
    <t>Материалы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</si>
  <si>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</si>
  <si>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</si>
  <si>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</si>
  <si>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</si>
  <si>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</si>
  <si>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текущих (прогнозных) ценах, руб.</t>
  </si>
  <si>
    <t>на ед.</t>
  </si>
  <si>
    <t>Всего</t>
  </si>
  <si>
    <t>ЛОКАЛЬНЫЙ РЕСУРСНЫЙ СМЕТНЫЙ РАСЧЕТ № 1</t>
  </si>
  <si>
    <t>(наименование работ и затрат, наименование объекта)</t>
  </si>
  <si>
    <t xml:space="preserve">Компенсация НДС на материал при условии применения УСН </t>
  </si>
  <si>
    <t>Итого по сметному расчету</t>
  </si>
  <si>
    <t xml:space="preserve">Стоимость </t>
  </si>
  <si>
    <t>в т.ч стоимость работ по сметному расчету</t>
  </si>
  <si>
    <t>в т.ч стоимость материала по сметному расчету</t>
  </si>
  <si>
    <t>Работы за ед</t>
  </si>
  <si>
    <t>Работы итого</t>
  </si>
  <si>
    <t>Материал за ед</t>
  </si>
  <si>
    <t>Материал итого</t>
  </si>
  <si>
    <t>УТВЕРЖДАЮ:</t>
  </si>
  <si>
    <t>Заказчик</t>
  </si>
  <si>
    <t>м.п.</t>
  </si>
  <si>
    <t>Директор ООО «»</t>
  </si>
  <si>
    <t xml:space="preserve">________________ </t>
  </si>
  <si>
    <t>СОГЛАСОВАНО:</t>
  </si>
  <si>
    <t>Подрядчик</t>
  </si>
  <si>
    <t>Компенсация НДС на ТМЦ при условии применения УСН</t>
  </si>
  <si>
    <t>Стройка:</t>
  </si>
  <si>
    <t>Объект:</t>
  </si>
  <si>
    <t>Статья бюджета:</t>
  </si>
  <si>
    <t>Стоимость, указанная в предложении включает в себя все необходимые затраты на выполнение полного комплекса работ</t>
  </si>
  <si>
    <r>
      <t>Цена на ед. измерения в руб.</t>
    </r>
    <r>
      <rPr>
        <b/>
        <sz val="14"/>
        <color rgb="FFFF0000"/>
        <rFont val="Times New Roman"/>
        <family val="1"/>
        <charset val="204"/>
      </rPr>
      <t xml:space="preserve"> без НДС</t>
    </r>
  </si>
  <si>
    <r>
      <t xml:space="preserve">Твердая договорная стоимость на полный объем в руб. </t>
    </r>
    <r>
      <rPr>
        <b/>
        <sz val="14"/>
        <color rgb="FFFF0000"/>
        <rFont val="Times New Roman"/>
        <family val="1"/>
        <charset val="204"/>
      </rPr>
      <t>без НДС</t>
    </r>
  </si>
  <si>
    <t>Наименование работ:</t>
  </si>
  <si>
    <t>Подрядчик:</t>
  </si>
  <si>
    <t>Заказчик:</t>
  </si>
  <si>
    <t>Ячейки выделенные синим цветом обязательны к заполнению</t>
  </si>
  <si>
    <t>Примечание заказчика</t>
  </si>
  <si>
    <t>Указать релевантный опыт только по специализации тендера</t>
  </si>
  <si>
    <t>Да/Нет</t>
  </si>
  <si>
    <t>Шифр/номер РД</t>
  </si>
  <si>
    <r>
      <t xml:space="preserve">Авансовый платеж </t>
    </r>
    <r>
      <rPr>
        <sz val="12"/>
        <color theme="1"/>
        <rFont val="Times New Roman"/>
        <family val="1"/>
        <charset val="204"/>
      </rPr>
      <t>(Не более 30% от стоимости договора. Аванс предоставляется для целевого исползования, покупка материалов, перебазировка тяжёлой техники и т.п</t>
    </r>
    <r>
      <rPr>
        <b/>
        <sz val="12"/>
        <color theme="1"/>
        <rFont val="Times New Roman"/>
        <family val="1"/>
        <charset val="204"/>
      </rPr>
      <t>.)</t>
    </r>
  </si>
  <si>
    <r>
      <t xml:space="preserve">Срок выполнения работ </t>
    </r>
    <r>
      <rPr>
        <sz val="12"/>
        <color theme="1"/>
        <rFont val="Times New Roman"/>
        <family val="1"/>
        <charset val="204"/>
      </rPr>
      <t>(Календарных дней)</t>
    </r>
  </si>
  <si>
    <r>
      <t xml:space="preserve"> </t>
    </r>
    <r>
      <rPr>
        <b/>
        <sz val="12"/>
        <rFont val="Times New Roman"/>
        <family val="1"/>
        <charset val="204"/>
      </rPr>
      <t>Зачет аванса:</t>
    </r>
    <r>
      <rPr>
        <sz val="12"/>
        <rFont val="Times New Roman"/>
        <family val="1"/>
        <charset val="204"/>
      </rPr>
      <t xml:space="preserve"> 
</t>
    </r>
    <r>
      <rPr>
        <sz val="12"/>
        <color theme="1"/>
        <rFont val="Times New Roman"/>
        <family val="1"/>
        <charset val="204"/>
      </rPr>
      <t xml:space="preserve">1) в 100 % объеме от выполненных работ
2) в 50% объёме от выполненных работ
 </t>
    </r>
    <r>
      <rPr>
        <sz val="12"/>
        <color rgb="FFFF0000"/>
        <rFont val="Times New Roman"/>
        <family val="1"/>
        <charset val="204"/>
      </rPr>
      <t>(выбрать вариант - заполнить)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</si>
  <si>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Указать № _
 Дата выдачи:________</t>
  </si>
  <si>
    <t>ИТР ___ чел., рабочие ___ чел. / ИТР ___ чел., рабочие ___ чел.</t>
  </si>
  <si>
    <t>Да - указать объем работ при котором будет сохранение расценок/Нет</t>
  </si>
  <si>
    <t>Да/Нет
Банк гарант - ___________</t>
  </si>
  <si>
    <t>Директор ООО «» / Индивидуальный предприниматель</t>
  </si>
  <si>
    <t>/</t>
  </si>
  <si>
    <t>МП</t>
  </si>
  <si>
    <t>подпись</t>
  </si>
  <si>
    <t>(расшифровка подписи)</t>
  </si>
  <si>
    <t>Стоимость КП предусматривает все затраты (косвенные и прямые) для выполнения полного комплекса работ/услуг согласно ТЗ, типовой формы договора подряда.</t>
  </si>
  <si>
    <t>Наименование работ</t>
  </si>
  <si>
    <t>Комплексная застройка «ДНС Сити», расположенная по адресу: Приморский край, Надеждинский р-н, п. Новый, в районе ул. Ленина, д.16а</t>
  </si>
  <si>
    <t>Многоэтажный многоквартирный жилой дом, расположенный на земельном участке с кадастровым номером 25:10:011500:2784 (ОКС 12.2)</t>
  </si>
  <si>
    <t>Ведомость давальческого материала</t>
  </si>
  <si>
    <t>№</t>
  </si>
  <si>
    <t>Наименование</t>
  </si>
  <si>
    <t>Ед.изм</t>
  </si>
  <si>
    <t>Наименование раздела РД</t>
  </si>
  <si>
    <t>Лист РД</t>
  </si>
  <si>
    <t>Проектное решение</t>
  </si>
  <si>
    <t>Предлагаемое к согласованию решение по замене материалов/оборудования/конструкций</t>
  </si>
  <si>
    <t>Стоимость по РД, руб</t>
  </si>
  <si>
    <t>Предлагаемая стоимость, руб</t>
  </si>
  <si>
    <t>Замечания и предложения к рабочей документации</t>
  </si>
  <si>
    <t>Стоимость КП расчитана на основании приложенной проектной/рабочей документации</t>
  </si>
  <si>
    <r>
      <rPr>
        <b/>
        <sz val="12"/>
        <rFont val="Times New Roman"/>
        <family val="1"/>
        <charset val="204"/>
      </rPr>
      <t xml:space="preserve">В стоимости учтены расходы на услуги по уборке, складированию и вывозу строительных отходов </t>
    </r>
    <r>
      <rPr>
        <b/>
        <sz val="12"/>
        <color indexed="2"/>
        <rFont val="Times New Roman"/>
        <family val="1"/>
        <charset val="204"/>
      </rPr>
      <t xml:space="preserve"> </t>
    </r>
    <r>
      <rPr>
        <sz val="12"/>
        <color indexed="2"/>
        <rFont val="Times New Roman"/>
        <family val="1"/>
        <charset val="204"/>
      </rPr>
      <t>(да/нет)</t>
    </r>
  </si>
  <si>
    <r>
      <rPr>
        <b/>
        <sz val="12"/>
        <rFont val="Times New Roman"/>
        <family val="1"/>
        <charset val="204"/>
      </rPr>
      <t>Численность официально трудоустроенных лиц/ численность, планируемая для реализации тендера</t>
    </r>
    <r>
      <rPr>
        <sz val="12"/>
        <rFont val="Times New Roman"/>
        <family val="1"/>
        <charset val="204"/>
      </rPr>
      <t xml:space="preserve"> </t>
    </r>
    <r>
      <rPr>
        <sz val="12"/>
        <color indexed="2"/>
        <rFont val="Times New Roman"/>
        <family val="1"/>
        <charset val="204"/>
      </rPr>
      <t>(указать …/….)</t>
    </r>
  </si>
  <si>
    <r>
      <rPr>
        <b/>
        <sz val="12"/>
        <rFont val="Times New Roman"/>
        <family val="1"/>
        <charset val="204"/>
      </rPr>
      <t>Контактное лицо по вопросам участия в тендере</t>
    </r>
    <r>
      <rPr>
        <sz val="12"/>
        <color indexed="2"/>
        <rFont val="Times New Roman"/>
        <family val="1"/>
        <charset val="204"/>
      </rPr>
      <t xml:space="preserve"> (должность, ФИО - полностью, контакты: тел., e-mail)</t>
    </r>
  </si>
  <si>
    <r>
      <rPr>
        <b/>
        <sz val="12"/>
        <rFont val="Times New Roman"/>
        <family val="1"/>
        <charset val="204"/>
      </rPr>
      <t>Генеральный директор предприятия</t>
    </r>
    <r>
      <rPr>
        <sz val="12"/>
        <rFont val="Times New Roman"/>
        <family val="1"/>
        <charset val="204"/>
      </rPr>
      <t xml:space="preserve"> </t>
    </r>
    <r>
      <rPr>
        <sz val="12"/>
        <color indexed="2"/>
        <rFont val="Times New Roman"/>
        <family val="1"/>
        <charset val="204"/>
      </rPr>
      <t>(ФИО - полностью, контакты: тел., e-mail)</t>
    </r>
  </si>
  <si>
    <t>Да</t>
  </si>
  <si>
    <r>
      <t xml:space="preserve">Готовность к уменьшению объемов работ и сохранению при этом единичных расценок.  </t>
    </r>
    <r>
      <rPr>
        <sz val="12"/>
        <color rgb="FFFF0000"/>
        <rFont val="Times New Roman"/>
        <family val="1"/>
        <charset val="204"/>
      </rPr>
      <t>(да/нет)</t>
    </r>
  </si>
  <si>
    <r>
      <rPr>
        <b/>
        <sz val="12"/>
        <rFont val="Times New Roman"/>
        <family val="1"/>
        <charset val="204"/>
      </rPr>
      <t>Наличие СРО/ лицензии</t>
    </r>
    <r>
      <rPr>
        <sz val="12"/>
        <rFont val="Times New Roman"/>
        <family val="1"/>
        <charset val="204"/>
      </rPr>
      <t xml:space="preserve"> </t>
    </r>
    <r>
      <rPr>
        <sz val="12"/>
        <color rgb="FFFF0000"/>
        <rFont val="Times New Roman"/>
        <family val="1"/>
        <charset val="204"/>
      </rPr>
      <t xml:space="preserve">(да/нет)-для тендеров, когда СРО/лицензия необходима. </t>
    </r>
  </si>
  <si>
    <t>60 (Шестьдесят) месяцев</t>
  </si>
  <si>
    <t>Гарантийный срок на выполненные работы по договору с даты подписания последней КС.</t>
  </si>
  <si>
    <r>
      <rPr>
        <b/>
        <sz val="12"/>
        <rFont val="Times New Roman"/>
        <family val="1"/>
        <charset val="204"/>
      </rPr>
      <t>Готовность приступить к работе по гарантийному письму Заказчика о намерениях заключить договор</t>
    </r>
    <r>
      <rPr>
        <sz val="12"/>
        <rFont val="Times New Roman"/>
        <family val="1"/>
        <charset val="204"/>
      </rPr>
      <t xml:space="preserve"> </t>
    </r>
    <r>
      <rPr>
        <sz val="12"/>
        <color rgb="FFFF0000"/>
        <rFont val="Times New Roman"/>
        <family val="1"/>
        <charset val="204"/>
      </rPr>
      <t>(да/нет, указать, к каким работам готовы приступить по гарантийному письму до заключения договора)</t>
    </r>
  </si>
  <si>
    <r>
      <rPr>
        <b/>
        <sz val="12"/>
        <rFont val="Times New Roman"/>
        <family val="1"/>
        <charset val="204"/>
      </rPr>
      <t>Банковская гарантия на авансовый платеж</t>
    </r>
    <r>
      <rPr>
        <sz val="12"/>
        <rFont val="Times New Roman"/>
        <family val="1"/>
        <charset val="204"/>
      </rPr>
      <t xml:space="preserve"> (при предоставлении аванса более 2 000 000 руб. с НДС) </t>
    </r>
    <r>
      <rPr>
        <sz val="12"/>
        <color rgb="FFFF0000"/>
        <rFont val="Times New Roman"/>
        <family val="1"/>
        <charset val="204"/>
      </rPr>
      <t>(да/нет) -  указать банк-гарант.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Срок действия банковской гарантии должен быть + 6 месяцев к предполагаемой дате завершения работ по графику производства работ</t>
    </r>
  </si>
  <si>
    <r>
      <t xml:space="preserve">Организация работает с </t>
    </r>
    <r>
      <rPr>
        <sz val="12"/>
        <color rgb="FFFF0000"/>
        <rFont val="Times New Roman"/>
        <family val="1"/>
        <charset val="204"/>
      </rPr>
      <t>НДС 20%/НДС 7%/НДС 5%/без НДС</t>
    </r>
  </si>
  <si>
    <t>Количество рабочих/ИТР*</t>
  </si>
  <si>
    <t>* - минимальное количество людей для производства работ в день</t>
  </si>
  <si>
    <t xml:space="preserve">ООО СЗ "ДНС Сити" 692481, с. Вольно-Надеждинское, Территория ТОР Надеждинская </t>
  </si>
  <si>
    <t>Технический заказчик:</t>
  </si>
  <si>
    <t>ООО "Инвест Строй" 690068, г. Владивосток, пр-т 100 летия Владивостока, 155 корп. 3, оф. 41</t>
  </si>
  <si>
    <t>Директор ООО «Ивест Строй»</t>
  </si>
  <si>
    <t>________________ Сомов Н.Ф.</t>
  </si>
  <si>
    <t>20% от материала при УСН или НДС 5%/7%</t>
  </si>
  <si>
    <t>НДС 20%/НДС 7%/НДС 5%/без НДС от всей суммы СМР и ТМЦ</t>
  </si>
  <si>
    <r>
      <t xml:space="preserve">Опыт реализации аналогичных видов работ за последние 3 года
</t>
    </r>
    <r>
      <rPr>
        <b/>
        <sz val="12"/>
        <color rgb="FFFF0000"/>
        <rFont val="Times New Roman"/>
        <family val="1"/>
        <charset val="204"/>
      </rPr>
      <t>Заказчик:
Контакты заказчика:
Объект:
Сроки выполнения работ:
Предмет договора: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</si>
  <si>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</si>
  <si>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</si>
  <si>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</si>
  <si>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</si>
  <si>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</si>
  <si>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</si>
  <si>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</si>
  <si>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</si>
  <si>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</si>
  <si>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</si>
  <si>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</si>
  <si>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</si>
  <si>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</si>
  <si>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</si>
  <si>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</si>
  <si>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</si>
  <si>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</si>
  <si>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</si>
  <si>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</si>
  <si>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</si>
  <si>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</si>
  <si>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</si>
  <si>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</si>
  <si>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</si>
  <si>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</si>
  <si>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</si>
  <si>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</si>
  <si>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</si>
  <si>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</si>
  <si>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</si>
  <si>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</si>
  <si>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</si>
  <si>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</si>
  <si>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</si>
  <si>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</si>
  <si>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</si>
  <si>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</si>
  <si>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</si>
  <si>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</si>
  <si>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</si>
  <si>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</si>
  <si>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</si>
  <si>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</si>
  <si>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</si>
  <si>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</si>
  <si>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</si>
  <si>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</si>
  <si>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</si>
  <si>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</si>
  <si>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</si>
  <si>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</si>
  <si>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</si>
  <si>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</si>
  <si>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</si>
  <si>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</si>
  <si>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</si>
  <si>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</si>
  <si>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</si>
  <si>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</si>
  <si>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</si>
  <si>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</si>
  <si>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</si>
  <si>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</si>
  <si>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</si>
  <si>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</si>
  <si>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</si>
  <si>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</si>
  <si>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</si>
  <si>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</si>
  <si>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</si>
  <si>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</si>
  <si>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</si>
  <si>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</si>
  <si>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</si>
  <si>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</si>
  <si>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</si>
  <si>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</si>
  <si>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</si>
  <si>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</si>
  <si>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</si>
  <si>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</si>
  <si>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</si>
  <si>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</si>
  <si>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</si>
  <si>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</si>
  <si>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</si>
  <si>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</si>
  <si>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ОКС 12.2</t>
  </si>
  <si>
    <t>Длит, дн</t>
  </si>
  <si>
    <t>2025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</si>
  <si>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</si>
  <si>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</si>
  <si>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</si>
  <si>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</si>
  <si>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</si>
  <si>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</si>
  <si>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</si>
  <si>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</si>
  <si>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</si>
  <si>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</si>
  <si>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</si>
  <si>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</si>
  <si>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Материал заказчика</t>
  </si>
  <si>
    <t>ИТОГО КОММЕРЧЕСКОЕ ПРЕДЛОЖЕНИЕ</t>
  </si>
  <si>
    <r>
      <rPr>
        <b/>
        <sz val="16"/>
        <color rgb="FFC00000"/>
        <rFont val="Times New Roman"/>
        <family val="1"/>
        <charset val="204"/>
      </rPr>
      <t xml:space="preserve">Позиции ТМЦ включают в себя стоимость основных материалов и доставку их на объект
Для позиции СМР в расценке необходимо учесть все затраты для выполнения указанного вида работ за исключением материалов выделенных в разделе "Материалы" </t>
    </r>
    <r>
      <rPr>
        <sz val="16"/>
        <color rgb="FFC00000"/>
        <rFont val="Times New Roman"/>
        <family val="1"/>
        <charset val="204"/>
      </rPr>
      <t xml:space="preserve">(заработная плата,эксплуатация машин и механизмов, накладные расходы, сметная прибыль, сопутствующих материалов для выполнения указанных видов работ)
</t>
    </r>
    <r>
      <rPr>
        <b/>
        <sz val="16"/>
        <color rgb="FFC00000"/>
        <rFont val="Times New Roman"/>
        <family val="1"/>
        <charset val="204"/>
      </rPr>
      <t>Расчеты выполнить в соответствии с ведомостью КП и приложенной РД</t>
    </r>
    <r>
      <rPr>
        <sz val="16"/>
        <color rgb="FFC00000"/>
        <rFont val="Times New Roman"/>
        <family val="1"/>
        <charset val="204"/>
      </rPr>
      <t xml:space="preserve">
</t>
    </r>
    <r>
      <rPr>
        <b/>
        <sz val="16"/>
        <color rgb="FFC00000"/>
        <rFont val="Times New Roman"/>
        <family val="1"/>
        <charset val="204"/>
      </rPr>
      <t>Все возникшие предложения по РД указать в отдельной вкладке "Замечания-предложения к РД"</t>
    </r>
  </si>
  <si>
    <t>КОММЕРЧЕСКОЕ ПРЕДЛОЖЕНИЕ ОТ</t>
  </si>
  <si>
    <t>Указать дату составления КП в формате ДД.ММ.ГГГГ</t>
  </si>
  <si>
    <t>88</t>
  </si>
  <si>
    <t>89</t>
  </si>
  <si>
    <t>90</t>
  </si>
  <si>
    <t>91</t>
  </si>
  <si>
    <t>92</t>
  </si>
  <si>
    <t>93</t>
  </si>
  <si>
    <t>УС1</t>
  </si>
  <si>
    <t>ШС2</t>
  </si>
  <si>
    <t>ШС3</t>
  </si>
  <si>
    <t>УС4</t>
  </si>
  <si>
    <t>ШС5</t>
  </si>
  <si>
    <t>УС6</t>
  </si>
  <si>
    <t>ШС7</t>
  </si>
  <si>
    <t>Раздел 1. Подвал/цоколь</t>
  </si>
  <si>
    <t>Отделка МОП</t>
  </si>
  <si>
    <t>м2</t>
  </si>
  <si>
    <t>Грунтовка глубокого проникновения</t>
  </si>
  <si>
    <t>л</t>
  </si>
  <si>
    <t>Клей плиточный</t>
  </si>
  <si>
    <t>кг</t>
  </si>
  <si>
    <t>Затирка цементная</t>
  </si>
  <si>
    <t>Раздел 2. 1 этаж</t>
  </si>
  <si>
    <t>м3</t>
  </si>
  <si>
    <t>Отделка квартир</t>
  </si>
  <si>
    <t>Раздел 3. 2 этаж</t>
  </si>
  <si>
    <t>Раздел 4. 3 этаж</t>
  </si>
  <si>
    <t>94</t>
  </si>
  <si>
    <t>95</t>
  </si>
  <si>
    <t>96</t>
  </si>
  <si>
    <t>97</t>
  </si>
  <si>
    <t>98</t>
  </si>
  <si>
    <t>99</t>
  </si>
  <si>
    <t>100</t>
  </si>
  <si>
    <t>101</t>
  </si>
  <si>
    <t>Раздел 5. 4 этаж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</si>
  <si>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</si>
  <si>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</si>
  <si>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</si>
  <si>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</si>
  <si>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</si>
  <si>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</si>
  <si>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</si>
  <si>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</si>
  <si>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</si>
  <si>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</si>
  <si>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</si>
  <si>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</si>
  <si>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</si>
  <si>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</si>
  <si>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</si>
  <si>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</si>
  <si>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</si>
  <si>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</si>
  <si>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</si>
  <si>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</si>
  <si>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</si>
  <si>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</si>
  <si>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</si>
  <si>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</si>
  <si>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Раздел 6. 5 этаж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</si>
  <si>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</si>
  <si>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</si>
  <si>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</si>
  <si>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</si>
  <si>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</si>
  <si>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</si>
  <si>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</si>
  <si>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</si>
  <si>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</si>
  <si>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</si>
  <si>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</si>
  <si>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</si>
  <si>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</si>
  <si>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</si>
  <si>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</si>
  <si>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</si>
  <si>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</si>
  <si>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</si>
  <si>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</si>
  <si>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</si>
  <si>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</si>
  <si>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</si>
  <si>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</si>
  <si>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</si>
  <si>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Раздел 7. 6 этаж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</si>
  <si>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</si>
  <si>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</si>
  <si>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</si>
  <si>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</si>
  <si>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</si>
  <si>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</si>
  <si>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</si>
  <si>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</si>
  <si>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</si>
  <si>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</si>
  <si>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</si>
  <si>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</si>
  <si>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</si>
  <si>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</si>
  <si>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</si>
  <si>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</si>
  <si>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</si>
  <si>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</si>
  <si>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</si>
  <si>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</si>
  <si>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</si>
  <si>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</si>
  <si>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</si>
  <si>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</si>
  <si>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Раздел 8. 7 этаж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</si>
  <si>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</si>
  <si>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</si>
  <si>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</si>
  <si>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</si>
  <si>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</si>
  <si>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</si>
  <si>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</si>
  <si>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</si>
  <si>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</si>
  <si>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</si>
  <si>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</si>
  <si>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</si>
  <si>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</si>
  <si>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</si>
  <si>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</si>
  <si>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</si>
  <si>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</si>
  <si>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</si>
  <si>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</si>
  <si>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</si>
  <si>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</si>
  <si>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</si>
  <si>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</si>
  <si>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</si>
  <si>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Раздел 9. 8 этаж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</si>
  <si>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</si>
  <si>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</si>
  <si>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</si>
  <si>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</si>
  <si>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</si>
  <si>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</si>
  <si>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</si>
  <si>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</si>
  <si>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</si>
  <si>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</si>
  <si>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</si>
  <si>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</si>
  <si>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</si>
  <si>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</si>
  <si>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</si>
  <si>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</si>
  <si>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</si>
  <si>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</si>
  <si>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</si>
  <si>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</si>
  <si>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</si>
  <si>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</si>
  <si>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</si>
  <si>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</si>
  <si>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Раздел 10. 9 этаж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</si>
  <si>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</si>
  <si>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</si>
  <si>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</si>
  <si>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</si>
  <si>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</si>
  <si>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</si>
  <si>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</si>
  <si>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</si>
  <si>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</si>
  <si>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</si>
  <si>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</si>
  <si>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</si>
  <si>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</si>
  <si>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</si>
  <si>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</si>
  <si>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</si>
  <si>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</si>
  <si>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</si>
  <si>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</si>
  <si>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</si>
  <si>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</si>
  <si>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</si>
  <si>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</si>
  <si>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</si>
  <si>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Раздел 11. 10 этаж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</si>
  <si>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</si>
  <si>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</si>
  <si>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</si>
  <si>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</si>
  <si>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</si>
  <si>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</si>
  <si>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</si>
  <si>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</si>
  <si>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</si>
  <si>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</si>
  <si>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</si>
  <si>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</si>
  <si>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</si>
  <si>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</si>
  <si>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</si>
  <si>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</si>
  <si>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</si>
  <si>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</si>
  <si>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</si>
  <si>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</si>
  <si>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</si>
  <si>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</si>
  <si>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</si>
  <si>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</si>
  <si>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Раздел 12. 11 этаж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</si>
  <si>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</si>
  <si>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</si>
  <si>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</si>
  <si>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</si>
  <si>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</si>
  <si>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</si>
  <si>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</si>
  <si>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</si>
  <si>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</si>
  <si>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</si>
  <si>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</si>
  <si>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</si>
  <si>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</si>
  <si>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</si>
  <si>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</si>
  <si>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</si>
  <si>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</si>
  <si>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</si>
  <si>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</si>
  <si>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</si>
  <si>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</si>
  <si>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</si>
  <si>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</si>
  <si>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</si>
  <si>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Раздел 13. 12 этаж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</si>
  <si>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</si>
  <si>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</si>
  <si>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</si>
  <si>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</si>
  <si>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</si>
  <si>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</si>
  <si>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</si>
  <si>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</si>
  <si>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</si>
  <si>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</si>
  <si>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</si>
  <si>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</si>
  <si>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</si>
  <si>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</si>
  <si>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</si>
  <si>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</si>
  <si>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</si>
  <si>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</si>
  <si>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</si>
  <si>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</si>
  <si>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</si>
  <si>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</si>
  <si>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</si>
  <si>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</si>
  <si>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Расход на ед. изм</t>
  </si>
  <si>
    <t>DP-0624-089 - АР(1-7)</t>
  </si>
  <si>
    <t>Выполнение работ по устройству внутренней отделки стен в секциях УС1 - ШС7 на объекте "Многоэтажный многоквартирный жилой дом, расположенный на земельном участке с кадастровым номером 25:10:011500:2784 (ОКС 12.2)"</t>
  </si>
  <si>
    <t>Устройство внутренней отделки стен в секциях УС1 - ШС7</t>
  </si>
  <si>
    <t>9.4.4 Стены</t>
  </si>
  <si>
    <t>на устройство внутренней отделки стен в секциях УС1 - ШС7</t>
  </si>
  <si>
    <t>СНБ 9.4.4-11</t>
  </si>
  <si>
    <t>М9.4.4-06</t>
  </si>
  <si>
    <t>Гипсокартон ГКЛ 12,5 мм</t>
  </si>
  <si>
    <t>М9.4.4-22</t>
  </si>
  <si>
    <t>Профиль направляющий 50*40*3000*0,6 мм</t>
  </si>
  <si>
    <t>М9.4.4-23</t>
  </si>
  <si>
    <t>Профиль стоечный 50*50*3000*0,6 мм</t>
  </si>
  <si>
    <t>СНБ 9.4.4-06</t>
  </si>
  <si>
    <t>М9.4.4-17</t>
  </si>
  <si>
    <t>Шпатлевка полимерная</t>
  </si>
  <si>
    <t>М9.4.4-01</t>
  </si>
  <si>
    <t>СНБ 9.4.4-01</t>
  </si>
  <si>
    <t>М9.4.4-21</t>
  </si>
  <si>
    <t>Профиль маячковый ПВХ</t>
  </si>
  <si>
    <t>М9.4.4-12</t>
  </si>
  <si>
    <t>Грунтовка акриловая бетоноконтакт</t>
  </si>
  <si>
    <t>М9.4.4-19</t>
  </si>
  <si>
    <t>Штукатурка цементная</t>
  </si>
  <si>
    <t>СНБ 9.4.4-02</t>
  </si>
  <si>
    <t>СНБ 9.4.4-09</t>
  </si>
  <si>
    <t>М9.4.4-05</t>
  </si>
  <si>
    <t>Угловой профиль для стыковки керамогранита</t>
  </si>
  <si>
    <t>М9.4.4-16</t>
  </si>
  <si>
    <t>М9.4.4-14</t>
  </si>
  <si>
    <t>Затирка цементная серая</t>
  </si>
  <si>
    <t>М9.4.4-15</t>
  </si>
  <si>
    <t>Затирка цементная темно-коричневая</t>
  </si>
  <si>
    <t>М9.4.4-08</t>
  </si>
  <si>
    <t>Керамогранит Italon Волнат 1200*200 мм</t>
  </si>
  <si>
    <t>М9.4.4-09</t>
  </si>
  <si>
    <t>Керамогранит Italon Континнум Силвер 1200х600</t>
  </si>
  <si>
    <t>СНБ 9.4.4-07</t>
  </si>
  <si>
    <t>М9.4.4-03</t>
  </si>
  <si>
    <t>Краска влагостойкая для сухих и влажных помещений колерованная RAL7040</t>
  </si>
  <si>
    <t>М9.4.4-02</t>
  </si>
  <si>
    <t>Краска влагостойкая для сухих и влажных помещений колерованная RAL6026</t>
  </si>
  <si>
    <t>СНБ 9.4.4-03</t>
  </si>
  <si>
    <t>М9.4.4-18</t>
  </si>
  <si>
    <t>Штукатурка гипсовая</t>
  </si>
  <si>
    <t>СНБ 9.4.4-05</t>
  </si>
  <si>
    <t>М9.4.4-20</t>
  </si>
  <si>
    <t>Штукатурка цементная декоративная "Короед"</t>
  </si>
  <si>
    <t>М9.4.4-04</t>
  </si>
  <si>
    <t>Краска влагостойкая для сухих и влажных помещений колерованная RAL9003</t>
  </si>
  <si>
    <t>СНБ 9.4.4-10</t>
  </si>
  <si>
    <t>М9.4.4-11</t>
  </si>
  <si>
    <t>Плиты из каменной ваты, толщиной 50 мм</t>
  </si>
  <si>
    <t>М9.4.4-10</t>
  </si>
  <si>
    <t>Керамогранит Гранитея Sugomak бежевый матовый 600х600</t>
  </si>
  <si>
    <t>М9.4.4-13</t>
  </si>
  <si>
    <t>М9.4.4-07</t>
  </si>
  <si>
    <t>Гипсокартон ГКЛВ 9,5 мм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</si>
  <si>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</si>
  <si>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</si>
  <si>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</si>
  <si>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</si>
  <si>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</si>
  <si>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</si>
  <si>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</si>
  <si>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</si>
  <si>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</si>
  <si>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</si>
  <si>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</si>
  <si>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</si>
  <si>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</si>
  <si>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</si>
  <si>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</si>
  <si>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</si>
  <si>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</si>
  <si>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</si>
  <si>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</si>
  <si>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</si>
  <si>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</si>
  <si>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</si>
  <si>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</si>
  <si>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</si>
  <si>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</si>
  <si>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</si>
  <si>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</si>
  <si>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</si>
  <si>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</si>
  <si>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</si>
  <si>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</si>
  <si>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</si>
  <si>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</si>
  <si>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</si>
  <si>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</si>
  <si>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</si>
  <si>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</si>
  <si>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</si>
  <si>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</si>
  <si>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</si>
  <si>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</si>
  <si>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</si>
  <si>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</si>
  <si>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</si>
  <si>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</si>
  <si>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</si>
  <si>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</si>
  <si>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</si>
  <si>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</si>
  <si>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</si>
  <si>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</si>
  <si>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</si>
  <si>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</si>
  <si>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</si>
  <si>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</si>
  <si>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</si>
  <si>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</si>
  <si>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</si>
  <si>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</si>
  <si>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</si>
  <si>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</si>
  <si>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</si>
  <si>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</si>
  <si>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</si>
  <si>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</si>
  <si>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</si>
  <si>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</si>
  <si>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</si>
  <si>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</si>
  <si>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</si>
  <si>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</si>
  <si>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</si>
  <si>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</si>
  <si>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</si>
  <si>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</si>
  <si>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</si>
  <si>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</si>
  <si>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</si>
  <si>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</si>
  <si>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</si>
  <si>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</si>
  <si>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</si>
  <si>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</si>
  <si>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</si>
  <si>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</si>
  <si>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</si>
  <si>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</si>
  <si>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</si>
  <si>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</si>
  <si>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</si>
  <si>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</si>
  <si>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</si>
  <si>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</si>
  <si>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</si>
  <si>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</si>
  <si>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</si>
  <si>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</si>
  <si>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</si>
  <si>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</si>
  <si>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</si>
  <si>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</si>
  <si>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</si>
  <si>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</si>
  <si>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</si>
  <si>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</si>
  <si>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</si>
  <si>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</si>
  <si>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</si>
  <si>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</si>
  <si>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</si>
  <si>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</si>
  <si>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</si>
  <si>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</si>
  <si>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</si>
  <si>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</si>
  <si>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</si>
  <si>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</si>
  <si>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</si>
  <si>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</si>
  <si>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</si>
  <si>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</si>
  <si>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</si>
  <si>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</si>
  <si>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</si>
  <si>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</si>
  <si>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</si>
  <si>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</si>
  <si>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</si>
  <si>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</si>
  <si>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</si>
  <si>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</si>
  <si>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</si>
  <si>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</si>
  <si>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</si>
  <si>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</si>
  <si>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</si>
  <si>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</si>
  <si>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</si>
  <si>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</si>
  <si>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</si>
  <si>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</si>
  <si>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</si>
  <si>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</si>
  <si>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</si>
  <si>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</si>
  <si>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</si>
  <si>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</si>
  <si>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</si>
  <si>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</si>
  <si>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</si>
  <si>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</si>
  <si>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</si>
  <si>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</si>
  <si>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</si>
  <si>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</si>
  <si>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</si>
  <si>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</si>
  <si>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</si>
  <si>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</si>
  <si>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</si>
  <si>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</si>
  <si>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</si>
  <si>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</si>
  <si>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</si>
  <si>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</si>
  <si>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</si>
  <si>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</si>
  <si>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</si>
  <si>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</si>
  <si>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</si>
  <si>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</si>
  <si>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</si>
  <si>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</si>
  <si>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</si>
  <si>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</si>
  <si>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</si>
  <si>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</si>
  <si>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</si>
  <si>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</si>
  <si>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</si>
  <si>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</si>
  <si>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</si>
  <si>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</si>
  <si>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</si>
  <si>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</si>
  <si>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</si>
  <si>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</si>
  <si>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</si>
  <si>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</si>
  <si>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</si>
  <si>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</si>
  <si>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</si>
  <si>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</si>
  <si>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</si>
  <si>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</si>
  <si>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</si>
  <si>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</si>
  <si>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</si>
  <si>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</si>
  <si>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</si>
  <si>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</si>
  <si>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</si>
  <si>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</si>
  <si>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</si>
  <si>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</si>
  <si>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</si>
  <si>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</si>
  <si>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</si>
  <si>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</si>
  <si>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</si>
  <si>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</si>
  <si>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</si>
  <si>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</si>
  <si>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</si>
  <si>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</si>
  <si>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</si>
  <si>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</si>
  <si>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</si>
  <si>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</si>
  <si>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</si>
  <si>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</si>
  <si>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</si>
  <si>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</si>
  <si>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</si>
  <si>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</si>
  <si>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</si>
  <si>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</si>
  <si>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</si>
  <si>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</si>
  <si>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</si>
  <si>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</si>
  <si>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</si>
  <si>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</si>
  <si>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</si>
  <si>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</si>
  <si>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</si>
  <si>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</si>
  <si>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</si>
  <si>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</si>
  <si>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</si>
  <si>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</si>
  <si>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</si>
  <si>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</si>
  <si>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</si>
  <si>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</si>
  <si>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</si>
  <si>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</si>
  <si>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Расценки на СМР</t>
  </si>
  <si>
    <t>Штукатурка стен (улучшенная) цементным составом: толщиной до 10 мм
Состав работ: 
1. Доставка материала со склада заказчика до места производства работ
2. Грунтование поверхности
3. Установка маячковых профилей
4. Усиление мест примыканий штукатурной сеткой между бетоном и кладкой и уголком на наружных углах
5. Приготовление штукатурного раствора из сухой смеси
6. Нанесение штукатурной смеси на стены вручную или механизированным способом
7. Разравнивание штукатурной смеси
8. Уборка строительного мусора с места производства работ до контейнера на строительной площадке</t>
  </si>
  <si>
    <t>Штукатурка стен (улучшенная) цементным составом: толщиной до 20 мм
Состав работ: 
1. Доставка материала со склада заказчика до места производства работ
2. Грунтование поверхности
3. Установка маячковых профилей
4. Усиление мест примыканий штукатурной сеткой между бетоном и кладкой и уголком на наружных углах
5. Приготовление штукатурного раствора из сухой смеси
6. Нанесение штукатурной смеси на стены вручную или механизированным способом
7. Разравнивание штукатурной смеси
8. Уборка строительного мусора с места производства работ до контейнера на строительной площадке</t>
  </si>
  <si>
    <t>Штукатурка стен (улучшенная) гипсовым составом: толщиной до 20 мм
Состав работ: 
1. Доставка материала со склада заказчика до места производства работ
2. Грунтование поверхности
3. Установка маячковых профилей
4. Усиление мест примыканий штукатурной сеткой между бетоном и кладкой и уголком на наружных углах
5. Приготовление штукатурного раствора из сухой смеси
6. Нанесение штукатурной смеси на стены вручную или механизированным способом
7. Разравнивание штукатурной смеси
8. Уборка строительного мусора с места производства работ до контейнера на строительной площадке</t>
  </si>
  <si>
    <t>Устройство декоративной штукатурки
Состав работ: 
1. Доставка материала со склада заказчика до места производства работ
2. Грунтование поверхности
3. Нанесение раствора на поверхности с разравниванием
4. Уборка строительного мусора с места производства работ до контейнера на строительной площадке</t>
  </si>
  <si>
    <t>Шпатлевание стен: в 2 слоя
Состав работ: 
1. Доставка материала со склада заказчика до места производства работ
2. Грунтование поверхности
3. Нанесение первого слоя шпатлевки
4. Нанесение второго слоя шпатлевки
5. Шлифование поверхности
6. Уборка строительного мусора с места производства работ до контейнера на строительной площадке</t>
  </si>
  <si>
    <t>Окраска стен: в 2 слоя
Состав работ: 
1. Доставка материала со склада заказчика до места производства работ
2. Грунтование поверхности
3. Окраска поверхности за 2 раза
4. Уборка строительного мусора с места производства работ до контейнера на строительной площадке</t>
  </si>
  <si>
    <t>Облицовка стен плитами керамогранитными
Состав работ: 
1. Доставка материала со склада заказчика до места производства работ
2. Огрунтовка поверхности стен
3. Приготовление клея из сухой смеси
4. Облицовка поверхностей с подгонкой и подрезкой по размеру
5. Заполнение швов цементной затиркой
6. Очистка и промывка поверхности облицовки
7. Уборка строительного мусора с места производства работ до контейнера на строительной площадке</t>
  </si>
  <si>
    <t>Изоляция стен изделиями из волокнистых и зернистых материалов насухо
Состав работ: 
1. Доставка материала со склада заказчика до места производства работ
2. Укладка изоляционного материала с подрезкой
3. Уборка строительного мусора с места производства работ до контейнера на строительной площадке</t>
  </si>
  <si>
    <t>Облицовка стен по одинарному металлическому каркасу из направляющих и стоечных профилей гипсокартонными листами в два слоя
Состав работ: 
1. Доставка материала со склада заказчика до места производства работ
2. Наклейка уплотнительной ленты на направляющие профили и прямые подвесы
3. Установка и крепление направляющих профилей к полу и потолку дюбелями
4. Установка стоечных профилей в направляющие с креплением
5. Наклейка разделительной ленты в местах сопряжения с поверхностью стен и потолка
6. Обшивка каркаса гипсокартонными листами с креплением их самонарезающими винтами в 2 слоя
7. Заделка продольных швов шпаклевкой с применением армирующей ленты, поперечных швов и углублений от винтов - без ленты
8. Уборка строительного мусора с места производства работ до контейнера на строительной площадке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</si>
</sst>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[$-F800]dddd\,\ mmmm\ dd\,\ yyyy"/>
    <numFmt numFmtId="166" formatCode="#,##0.000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2"/>
      <name val="Times New Roman"/>
      <family val="1"/>
      <charset val="204"/>
    </font>
    <font>
      <i/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indexed="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000000"/>
      <name val="Calibri"/>
      <charset val="204"/>
    </font>
    <font>
      <sz val="4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4"/>
      <color theme="1"/>
      <name val="Times New Roman"/>
      <family val="1"/>
      <charset val="204"/>
    </font>
    <font>
      <sz val="5"/>
      <color theme="1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0"/>
      <color rgb="FF000000"/>
      <name val="Times New Roman"/>
      <family val="1"/>
      <charset val="204"/>
    </font>
    <font>
      <b/>
      <i/>
      <sz val="12"/>
      <color theme="1"/>
      <name val="Arial"/>
      <family val="2"/>
      <charset val="204"/>
    </font>
    <font>
      <b/>
      <i/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/>
    <xf numFmtId="0" fontId="2" fillId="0" borderId="0"/>
    <xf numFmtId="0" fontId="8" fillId="0" borderId="0"/>
    <xf numFmtId="0" fontId="21" fillId="0" borderId="0"/>
    <xf numFmtId="0" fontId="1" fillId="0" borderId="0"/>
    <xf numFmtId="0" fontId="31" fillId="0" borderId="0"/>
    <xf numFmtId="0" fontId="33" fillId="0" borderId="0"/>
    <xf numFmtId="9" fontId="21" fillId="0" borderId="0" applyFont="0" applyFill="0" applyBorder="0" applyAlignment="0" applyProtection="0"/>
  </cellStyleXfs>
  <cellXfs count="244">
    <xf numFmtId="0" fontId="0" fillId="0" borderId="0" xfId="0"/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4" fontId="3" fillId="0" borderId="0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9" fillId="0" borderId="0" xfId="0" applyFont="1"/>
    <xf numFmtId="4" fontId="13" fillId="0" borderId="1" xfId="0" applyNumberFormat="1" applyFont="1" applyBorder="1"/>
    <xf numFmtId="4" fontId="14" fillId="0" borderId="1" xfId="0" applyNumberFormat="1" applyFont="1" applyBorder="1"/>
    <xf numFmtId="4" fontId="3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10" fillId="0" borderId="1" xfId="0" applyFont="1" applyBorder="1" applyAlignment="1">
      <alignment horizontal="center" vertical="center"/>
    </xf>
    <xf numFmtId="10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Border="1"/>
    <xf numFmtId="49" fontId="25" fillId="0" borderId="0" xfId="0" applyNumberFormat="1" applyFont="1" applyFill="1" applyBorder="1" applyAlignment="1" applyProtection="1">
      <alignment vertical="center" wrapText="1"/>
      <protection locked="0"/>
    </xf>
    <xf numFmtId="0" fontId="19" fillId="0" borderId="0" xfId="0" applyFont="1" applyBorder="1"/>
    <xf numFmtId="0" fontId="3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0" xfId="0" applyNumberFormat="1" applyFont="1"/>
    <xf numFmtId="0" fontId="17" fillId="2" borderId="0" xfId="0" applyNumberFormat="1" applyFont="1" applyFill="1"/>
    <xf numFmtId="4" fontId="30" fillId="0" borderId="1" xfId="1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 vertical="center"/>
    </xf>
    <xf numFmtId="4" fontId="30" fillId="0" borderId="3" xfId="1" applyNumberFormat="1" applyFont="1" applyBorder="1" applyAlignment="1">
      <alignment horizontal="right" vertical="top" wrapText="1"/>
    </xf>
    <xf numFmtId="4" fontId="30" fillId="0" borderId="7" xfId="1" applyNumberFormat="1" applyFont="1" applyBorder="1" applyAlignment="1">
      <alignment horizontal="right" vertical="top" wrapText="1"/>
    </xf>
    <xf numFmtId="4" fontId="30" fillId="0" borderId="4" xfId="1" applyNumberFormat="1" applyFont="1" applyBorder="1" applyAlignment="1">
      <alignment horizontal="right" vertical="top" wrapText="1"/>
    </xf>
    <xf numFmtId="0" fontId="5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4" fontId="3" fillId="2" borderId="7" xfId="0" applyNumberFormat="1" applyFont="1" applyFill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3" fillId="0" borderId="2" xfId="0" applyFont="1" applyBorder="1" applyAlignment="1"/>
    <xf numFmtId="0" fontId="3" fillId="0" borderId="4" xfId="0" applyFont="1" applyBorder="1" applyAlignment="1"/>
    <xf numFmtId="0" fontId="3" fillId="0" borderId="3" xfId="0" applyFont="1" applyBorder="1" applyAlignment="1"/>
    <xf numFmtId="164" fontId="9" fillId="0" borderId="0" xfId="0" applyNumberFormat="1" applyFont="1"/>
    <xf numFmtId="164" fontId="16" fillId="0" borderId="0" xfId="0" applyNumberFormat="1" applyFont="1" applyFill="1" applyAlignment="1">
      <alignment horizontal="left"/>
    </xf>
    <xf numFmtId="164" fontId="17" fillId="0" borderId="0" xfId="0" applyNumberFormat="1" applyFont="1" applyFill="1" applyAlignment="1">
      <alignment horizontal="left"/>
    </xf>
    <xf numFmtId="164" fontId="17" fillId="0" borderId="0" xfId="0" applyNumberFormat="1" applyFont="1" applyFill="1" applyAlignment="1">
      <alignment horizontal="center"/>
    </xf>
    <xf numFmtId="164" fontId="17" fillId="0" borderId="0" xfId="0" applyNumberFormat="1" applyFont="1" applyFill="1"/>
    <xf numFmtId="4" fontId="30" fillId="0" borderId="2" xfId="1" applyNumberFormat="1" applyFont="1" applyBorder="1" applyAlignment="1">
      <alignment horizontal="centerContinuous" vertical="top" wrapText="1"/>
    </xf>
    <xf numFmtId="4" fontId="30" fillId="0" borderId="3" xfId="1" applyNumberFormat="1" applyFont="1" applyBorder="1" applyAlignment="1">
      <alignment horizontal="centerContinuous" vertical="top" wrapText="1"/>
    </xf>
    <xf numFmtId="0" fontId="34" fillId="0" borderId="0" xfId="0" applyFont="1"/>
    <xf numFmtId="0" fontId="36" fillId="0" borderId="28" xfId="0" applyFont="1" applyBorder="1" applyAlignment="1">
      <alignment horizontal="center" vertical="center"/>
    </xf>
    <xf numFmtId="0" fontId="36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center" vertical="center"/>
    </xf>
    <xf numFmtId="0" fontId="37" fillId="0" borderId="30" xfId="0" applyFont="1" applyBorder="1" applyAlignment="1">
      <alignment horizontal="center" vertical="center"/>
    </xf>
    <xf numFmtId="0" fontId="37" fillId="0" borderId="28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0" fontId="12" fillId="0" borderId="27" xfId="0" applyFont="1" applyBorder="1" applyAlignment="1">
      <alignment horizontal="center" vertical="center"/>
    </xf>
    <xf numFmtId="0" fontId="36" fillId="0" borderId="26" xfId="0" applyFont="1" applyBorder="1"/>
    <xf numFmtId="0" fontId="36" fillId="0" borderId="7" xfId="0" applyFont="1" applyBorder="1"/>
    <xf numFmtId="0" fontId="36" fillId="0" borderId="27" xfId="0" applyFont="1" applyBorder="1"/>
    <xf numFmtId="0" fontId="12" fillId="0" borderId="19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20" xfId="0" applyFont="1" applyBorder="1" applyAlignment="1">
      <alignment horizontal="center" vertical="center"/>
    </xf>
    <xf numFmtId="0" fontId="36" fillId="0" borderId="19" xfId="0" applyFont="1" applyBorder="1"/>
    <xf numFmtId="0" fontId="36" fillId="0" borderId="1" xfId="0" applyFont="1" applyBorder="1"/>
    <xf numFmtId="0" fontId="36" fillId="0" borderId="20" xfId="0" applyFont="1" applyBorder="1"/>
    <xf numFmtId="0" fontId="12" fillId="0" borderId="6" xfId="0" applyFont="1" applyBorder="1" applyAlignment="1">
      <alignment horizontal="left" vertical="center"/>
    </xf>
    <xf numFmtId="0" fontId="12" fillId="0" borderId="32" xfId="0" applyFont="1" applyBorder="1" applyAlignment="1">
      <alignment horizontal="center" vertical="center"/>
    </xf>
    <xf numFmtId="0" fontId="36" fillId="0" borderId="33" xfId="0" applyFont="1" applyBorder="1"/>
    <xf numFmtId="0" fontId="36" fillId="0" borderId="6" xfId="0" applyFont="1" applyBorder="1"/>
    <xf numFmtId="0" fontId="36" fillId="0" borderId="32" xfId="0" applyFont="1" applyBorder="1"/>
    <xf numFmtId="0" fontId="12" fillId="0" borderId="22" xfId="0" applyFont="1" applyBorder="1" applyAlignment="1">
      <alignment horizontal="left" vertical="center"/>
    </xf>
    <xf numFmtId="0" fontId="12" fillId="0" borderId="23" xfId="0" applyFont="1" applyBorder="1" applyAlignment="1">
      <alignment horizontal="center" vertical="center"/>
    </xf>
    <xf numFmtId="0" fontId="36" fillId="0" borderId="21" xfId="0" applyFont="1" applyBorder="1"/>
    <xf numFmtId="0" fontId="36" fillId="0" borderId="22" xfId="0" applyFont="1" applyBorder="1"/>
    <xf numFmtId="0" fontId="36" fillId="0" borderId="23" xfId="0" applyFont="1" applyBorder="1"/>
    <xf numFmtId="0" fontId="12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0" fontId="29" fillId="0" borderId="0" xfId="0" applyFont="1" applyFill="1" applyAlignment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NumberFormat="1"/>
    <xf numFmtId="0" fontId="1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" fontId="30" fillId="0" borderId="1" xfId="1" applyNumberFormat="1" applyFont="1" applyBorder="1" applyAlignment="1">
      <alignment horizontal="center" vertical="center" wrapText="1"/>
    </xf>
    <xf numFmtId="0" fontId="14" fillId="0" borderId="0" xfId="0" applyFont="1"/>
    <xf numFmtId="4" fontId="30" fillId="3" borderId="1" xfId="2" applyNumberFormat="1" applyFont="1" applyFill="1" applyBorder="1" applyAlignment="1">
      <alignment horizontal="center" vertical="top" wrapText="1"/>
    </xf>
    <xf numFmtId="166" fontId="30" fillId="3" borderId="1" xfId="2" applyNumberFormat="1" applyFont="1" applyFill="1" applyBorder="1" applyAlignment="1">
      <alignment horizontal="center" vertical="top" wrapText="1"/>
    </xf>
    <xf numFmtId="0" fontId="41" fillId="0" borderId="1" xfId="2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/>
    </xf>
    <xf numFmtId="0" fontId="10" fillId="0" borderId="4" xfId="0" applyFont="1" applyBorder="1" applyAlignment="1"/>
    <xf numFmtId="4" fontId="10" fillId="0" borderId="1" xfId="0" applyNumberFormat="1" applyFont="1" applyBorder="1" applyAlignment="1">
      <alignment horizontal="left" vertical="center"/>
    </xf>
    <xf numFmtId="0" fontId="10" fillId="0" borderId="0" xfId="0" applyFont="1"/>
    <xf numFmtId="0" fontId="40" fillId="0" borderId="0" xfId="0" applyFont="1"/>
    <xf numFmtId="10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40" fillId="0" borderId="0" xfId="0" applyFont="1" applyBorder="1"/>
    <xf numFmtId="49" fontId="42" fillId="0" borderId="0" xfId="0" applyNumberFormat="1" applyFont="1" applyFill="1" applyBorder="1" applyAlignment="1" applyProtection="1">
      <alignment vertical="center" wrapText="1"/>
      <protection locked="0"/>
    </xf>
    <xf numFmtId="166" fontId="3" fillId="0" borderId="1" xfId="0" applyNumberFormat="1" applyFont="1" applyBorder="1" applyAlignment="1">
      <alignment horizontal="center" vertical="center"/>
    </xf>
    <xf numFmtId="4" fontId="44" fillId="0" borderId="7" xfId="1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center"/>
    </xf>
    <xf numFmtId="4" fontId="45" fillId="3" borderId="1" xfId="2" applyNumberFormat="1" applyFont="1" applyFill="1" applyBorder="1" applyAlignment="1">
      <alignment horizontal="center" vertical="top" wrapText="1"/>
    </xf>
    <xf numFmtId="0" fontId="46" fillId="0" borderId="1" xfId="2" applyFont="1" applyBorder="1" applyAlignment="1">
      <alignment horizontal="center" vertical="center" wrapText="1"/>
    </xf>
    <xf numFmtId="4" fontId="30" fillId="3" borderId="2" xfId="2" applyNumberFormat="1" applyFont="1" applyFill="1" applyBorder="1" applyAlignment="1">
      <alignment horizontal="center" vertical="top" wrapText="1"/>
    </xf>
    <xf numFmtId="166" fontId="30" fillId="3" borderId="2" xfId="2" applyNumberFormat="1" applyFont="1" applyFill="1" applyBorder="1" applyAlignment="1">
      <alignment horizontal="center" vertical="top" wrapText="1"/>
    </xf>
    <xf numFmtId="0" fontId="46" fillId="0" borderId="1" xfId="0" applyFont="1" applyBorder="1" applyAlignment="1">
      <alignment horizontal="center" vertical="center" wrapText="1"/>
    </xf>
    <xf numFmtId="4" fontId="45" fillId="3" borderId="1" xfId="0" applyNumberFormat="1" applyFont="1" applyFill="1" applyBorder="1" applyAlignment="1">
      <alignment horizontal="center" vertical="center" wrapText="1"/>
    </xf>
    <xf numFmtId="4" fontId="47" fillId="3" borderId="1" xfId="0" applyNumberFormat="1" applyFont="1" applyFill="1" applyBorder="1" applyAlignment="1">
      <alignment horizontal="center" vertical="top" wrapText="1"/>
    </xf>
    <xf numFmtId="4" fontId="44" fillId="3" borderId="1" xfId="2" applyNumberFormat="1" applyFont="1" applyFill="1" applyBorder="1" applyAlignment="1">
      <alignment horizontal="center" vertical="top" wrapText="1"/>
    </xf>
    <xf numFmtId="3" fontId="44" fillId="3" borderId="1" xfId="2" applyNumberFormat="1" applyFont="1" applyFill="1" applyBorder="1" applyAlignment="1">
      <alignment horizontal="center" vertical="top" wrapText="1"/>
    </xf>
    <xf numFmtId="2" fontId="44" fillId="3" borderId="1" xfId="2" applyNumberFormat="1" applyFont="1" applyFill="1" applyBorder="1" applyAlignment="1">
      <alignment horizontal="center" vertical="top" wrapText="1"/>
    </xf>
    <xf numFmtId="4" fontId="47" fillId="3" borderId="1" xfId="2" applyNumberFormat="1" applyFont="1" applyFill="1" applyBorder="1" applyAlignment="1">
      <alignment horizontal="center" vertical="top" wrapText="1"/>
    </xf>
    <xf numFmtId="2" fontId="47" fillId="3" borderId="1" xfId="2" applyNumberFormat="1" applyFont="1" applyFill="1" applyBorder="1" applyAlignment="1">
      <alignment horizontal="center" vertical="top" wrapText="1"/>
    </xf>
    <xf numFmtId="4" fontId="48" fillId="3" borderId="1" xfId="2" applyNumberFormat="1" applyFont="1" applyFill="1" applyBorder="1" applyAlignment="1">
      <alignment horizontal="center" vertical="top" wrapText="1"/>
    </xf>
    <xf numFmtId="0" fontId="44" fillId="0" borderId="2" xfId="5" applyNumberFormat="1" applyFont="1" applyFill="1" applyBorder="1" applyAlignment="1" applyProtection="1">
      <alignment horizontal="left" vertical="top"/>
    </xf>
    <xf numFmtId="49" fontId="49" fillId="0" borderId="4" xfId="5" applyNumberFormat="1" applyFont="1" applyFill="1" applyBorder="1" applyAlignment="1" applyProtection="1">
      <alignment horizontal="left" vertical="top" wrapText="1"/>
    </xf>
    <xf numFmtId="0" fontId="50" fillId="0" borderId="4" xfId="5" applyNumberFormat="1" applyFont="1" applyFill="1" applyBorder="1" applyAlignment="1" applyProtection="1">
      <alignment vertical="top" wrapText="1"/>
    </xf>
    <xf numFmtId="49" fontId="51" fillId="0" borderId="4" xfId="5" applyNumberFormat="1" applyFont="1" applyFill="1" applyBorder="1" applyAlignment="1" applyProtection="1">
      <alignment horizontal="center" vertical="top" wrapText="1"/>
    </xf>
    <xf numFmtId="49" fontId="50" fillId="0" borderId="4" xfId="5" applyNumberFormat="1" applyFont="1" applyFill="1" applyBorder="1" applyAlignment="1" applyProtection="1">
      <alignment horizontal="center" vertical="top" wrapText="1"/>
    </xf>
    <xf numFmtId="164" fontId="50" fillId="0" borderId="4" xfId="5" applyNumberFormat="1" applyFont="1" applyFill="1" applyBorder="1" applyAlignment="1" applyProtection="1">
      <alignment horizontal="center" vertical="top" wrapText="1"/>
    </xf>
    <xf numFmtId="164" fontId="50" fillId="3" borderId="4" xfId="5" applyNumberFormat="1" applyFont="1" applyFill="1" applyBorder="1" applyAlignment="1" applyProtection="1">
      <alignment horizontal="center" vertical="top" wrapText="1"/>
    </xf>
    <xf numFmtId="0" fontId="52" fillId="0" borderId="2" xfId="5" applyNumberFormat="1" applyFont="1" applyFill="1" applyBorder="1" applyAlignment="1" applyProtection="1">
      <alignment horizontal="left" vertical="top"/>
    </xf>
    <xf numFmtId="49" fontId="49" fillId="0" borderId="1" xfId="6" applyNumberFormat="1" applyFont="1" applyFill="1" applyBorder="1" applyAlignment="1" applyProtection="1">
      <alignment horizontal="center" vertical="top" wrapText="1"/>
    </xf>
    <xf numFmtId="49" fontId="49" fillId="0" borderId="1" xfId="6" applyNumberFormat="1" applyFont="1" applyFill="1" applyBorder="1" applyAlignment="1" applyProtection="1">
      <alignment horizontal="left" vertical="top" wrapText="1"/>
    </xf>
    <xf numFmtId="0" fontId="49" fillId="0" borderId="1" xfId="6" applyNumberFormat="1" applyFont="1" applyFill="1" applyBorder="1" applyAlignment="1" applyProtection="1">
      <alignment horizontal="left" vertical="top" wrapText="1"/>
    </xf>
    <xf numFmtId="0" fontId="53" fillId="0" borderId="1" xfId="6" applyNumberFormat="1" applyFont="1" applyFill="1" applyBorder="1" applyAlignment="1" applyProtection="1">
      <alignment horizontal="center" vertical="top" wrapText="1"/>
    </xf>
    <xf numFmtId="2" fontId="49" fillId="0" borderId="1" xfId="6" applyNumberFormat="1" applyFont="1" applyFill="1" applyBorder="1" applyAlignment="1" applyProtection="1">
      <alignment horizontal="center" vertical="top" wrapText="1"/>
    </xf>
    <xf numFmtId="49" fontId="50" fillId="0" borderId="1" xfId="6" applyNumberFormat="1" applyFont="1" applyFill="1" applyBorder="1" applyAlignment="1" applyProtection="1">
      <alignment horizontal="center" vertical="top" wrapText="1"/>
    </xf>
    <xf numFmtId="0" fontId="50" fillId="0" borderId="1" xfId="6" applyNumberFormat="1" applyFont="1" applyFill="1" applyBorder="1" applyAlignment="1" applyProtection="1">
      <alignment horizontal="left" vertical="top" wrapText="1"/>
    </xf>
    <xf numFmtId="2" fontId="50" fillId="0" borderId="1" xfId="6" applyNumberFormat="1" applyFont="1" applyFill="1" applyBorder="1" applyAlignment="1" applyProtection="1">
      <alignment horizontal="center" vertical="top" wrapText="1"/>
    </xf>
    <xf numFmtId="164" fontId="50" fillId="0" borderId="1" xfId="6" applyNumberFormat="1" applyFont="1" applyFill="1" applyBorder="1" applyAlignment="1" applyProtection="1">
      <alignment horizontal="center" vertical="top" wrapText="1"/>
    </xf>
    <xf numFmtId="0" fontId="51" fillId="0" borderId="1" xfId="6" applyNumberFormat="1" applyFont="1" applyFill="1" applyBorder="1" applyAlignment="1" applyProtection="1">
      <alignment horizontal="center" vertical="top" wrapText="1"/>
    </xf>
    <xf numFmtId="2" fontId="49" fillId="3" borderId="1" xfId="6" applyNumberFormat="1" applyFont="1" applyFill="1" applyBorder="1" applyAlignment="1" applyProtection="1">
      <alignment horizontal="center" vertical="top" wrapText="1"/>
    </xf>
    <xf numFmtId="2" fontId="50" fillId="3" borderId="1" xfId="6" applyNumberFormat="1" applyFont="1" applyFill="1" applyBorder="1" applyAlignment="1" applyProtection="1">
      <alignment horizontal="center" vertical="top" wrapText="1"/>
    </xf>
    <xf numFmtId="4" fontId="0" fillId="0" borderId="0" xfId="0" applyNumberFormat="1"/>
    <xf numFmtId="4" fontId="3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top"/>
    </xf>
    <xf numFmtId="49" fontId="23" fillId="0" borderId="1" xfId="3" applyNumberFormat="1" applyFont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20" fillId="0" borderId="1" xfId="3" applyNumberFormat="1" applyFont="1" applyBorder="1" applyAlignment="1" applyProtection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4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/>
    </xf>
    <xf numFmtId="49" fontId="26" fillId="0" borderId="11" xfId="3" applyNumberFormat="1" applyFont="1" applyBorder="1" applyAlignment="1" applyProtection="1">
      <alignment horizontal="center" vertical="center" wrapText="1"/>
    </xf>
    <xf numFmtId="49" fontId="26" fillId="0" borderId="0" xfId="3" applyNumberFormat="1" applyFont="1" applyBorder="1" applyAlignment="1" applyProtection="1">
      <alignment horizontal="right" vertical="center" wrapText="1"/>
    </xf>
    <xf numFmtId="49" fontId="7" fillId="0" borderId="11" xfId="3" applyNumberFormat="1" applyFont="1" applyBorder="1" applyAlignment="1" applyProtection="1">
      <alignment horizontal="left" vertical="center" wrapText="1"/>
    </xf>
    <xf numFmtId="49" fontId="26" fillId="0" borderId="11" xfId="3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9" fontId="23" fillId="0" borderId="14" xfId="3" applyNumberFormat="1" applyFont="1" applyBorder="1" applyAlignment="1" applyProtection="1">
      <alignment horizontal="left" vertical="center" wrapText="1"/>
    </xf>
    <xf numFmtId="49" fontId="23" fillId="0" borderId="15" xfId="3" applyNumberFormat="1" applyFont="1" applyBorder="1" applyAlignment="1" applyProtection="1">
      <alignment horizontal="left" vertical="center" wrapText="1"/>
    </xf>
    <xf numFmtId="49" fontId="20" fillId="0" borderId="14" xfId="3" applyNumberFormat="1" applyFont="1" applyBorder="1" applyAlignment="1" applyProtection="1">
      <alignment horizontal="left" vertical="center" wrapText="1"/>
    </xf>
    <xf numFmtId="0" fontId="20" fillId="0" borderId="4" xfId="0" applyNumberFormat="1" applyFont="1" applyFill="1" applyBorder="1" applyAlignment="1">
      <alignment horizontal="center" vertical="center"/>
    </xf>
    <xf numFmtId="0" fontId="20" fillId="0" borderId="3" xfId="0" applyNumberFormat="1" applyFont="1" applyFill="1" applyBorder="1" applyAlignment="1">
      <alignment horizontal="center" vertical="center"/>
    </xf>
    <xf numFmtId="49" fontId="23" fillId="0" borderId="12" xfId="3" applyNumberFormat="1" applyFont="1" applyBorder="1" applyAlignment="1" applyProtection="1">
      <alignment horizontal="left" vertical="center" wrapText="1"/>
    </xf>
    <xf numFmtId="49" fontId="23" fillId="0" borderId="13" xfId="3" applyNumberFormat="1" applyFont="1" applyBorder="1" applyAlignment="1" applyProtection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38" fillId="2" borderId="0" xfId="0" applyFont="1" applyFill="1" applyAlignment="1">
      <alignment horizontal="left"/>
    </xf>
    <xf numFmtId="0" fontId="39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43" fillId="0" borderId="0" xfId="0" applyFont="1" applyAlignment="1">
      <alignment horizontal="center" vertical="top"/>
    </xf>
    <xf numFmtId="0" fontId="6" fillId="0" borderId="0" xfId="0" applyFont="1" applyFill="1" applyAlignment="1">
      <alignment horizontal="right"/>
    </xf>
    <xf numFmtId="165" fontId="6" fillId="2" borderId="0" xfId="0" applyNumberFormat="1" applyFont="1" applyFill="1" applyAlignment="1">
      <alignment horizontal="left"/>
    </xf>
    <xf numFmtId="0" fontId="10" fillId="0" borderId="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right" vertical="center"/>
    </xf>
    <xf numFmtId="9" fontId="3" fillId="2" borderId="2" xfId="7" applyFont="1" applyFill="1" applyBorder="1" applyAlignment="1">
      <alignment horizontal="center" vertical="center"/>
    </xf>
    <xf numFmtId="9" fontId="3" fillId="2" borderId="4" xfId="7" applyFont="1" applyFill="1" applyBorder="1" applyAlignment="1">
      <alignment horizontal="center" vertical="center"/>
    </xf>
    <xf numFmtId="9" fontId="3" fillId="2" borderId="3" xfId="7" applyFont="1" applyFill="1" applyBorder="1" applyAlignment="1">
      <alignment horizontal="center" vertical="center"/>
    </xf>
    <xf numFmtId="164" fontId="30" fillId="3" borderId="6" xfId="1" applyNumberFormat="1" applyFont="1" applyFill="1" applyBorder="1" applyAlignment="1" applyProtection="1">
      <alignment horizontal="center" vertical="center" wrapText="1"/>
    </xf>
    <xf numFmtId="164" fontId="30" fillId="3" borderId="8" xfId="1" applyNumberFormat="1" applyFont="1" applyFill="1" applyBorder="1" applyAlignment="1" applyProtection="1">
      <alignment horizontal="center" vertical="center" wrapText="1"/>
    </xf>
    <xf numFmtId="164" fontId="30" fillId="3" borderId="7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2" fillId="0" borderId="5" xfId="0" applyFont="1" applyBorder="1" applyAlignment="1">
      <alignment horizontal="center" vertical="top"/>
    </xf>
    <xf numFmtId="0" fontId="16" fillId="2" borderId="0" xfId="0" applyFont="1" applyFill="1" applyAlignment="1">
      <alignment horizontal="left"/>
    </xf>
    <xf numFmtId="0" fontId="17" fillId="2" borderId="0" xfId="0" applyFont="1" applyFill="1" applyAlignment="1">
      <alignment horizontal="left"/>
    </xf>
    <xf numFmtId="0" fontId="17" fillId="2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41" fillId="0" borderId="6" xfId="1" applyNumberFormat="1" applyFont="1" applyFill="1" applyBorder="1" applyAlignment="1" applyProtection="1">
      <alignment horizontal="center" vertical="center" wrapText="1"/>
    </xf>
    <xf numFmtId="49" fontId="41" fillId="0" borderId="8" xfId="1" applyNumberFormat="1" applyFont="1" applyFill="1" applyBorder="1" applyAlignment="1" applyProtection="1">
      <alignment horizontal="center" vertical="center" wrapText="1"/>
    </xf>
    <xf numFmtId="49" fontId="41" fillId="0" borderId="7" xfId="1" applyNumberFormat="1" applyFont="1" applyFill="1" applyBorder="1" applyAlignment="1" applyProtection="1">
      <alignment horizontal="center" vertical="center" wrapText="1"/>
    </xf>
    <xf numFmtId="0" fontId="13" fillId="0" borderId="2" xfId="0" applyFont="1" applyBorder="1" applyAlignment="1">
      <alignment horizontal="right"/>
    </xf>
    <xf numFmtId="0" fontId="13" fillId="0" borderId="4" xfId="0" applyFont="1" applyBorder="1" applyAlignment="1">
      <alignment horizontal="right"/>
    </xf>
    <xf numFmtId="0" fontId="13" fillId="0" borderId="3" xfId="0" applyFont="1" applyBorder="1" applyAlignment="1">
      <alignment horizontal="right"/>
    </xf>
    <xf numFmtId="49" fontId="30" fillId="0" borderId="2" xfId="1" applyNumberFormat="1" applyFont="1" applyFill="1" applyBorder="1" applyAlignment="1" applyProtection="1">
      <alignment horizontal="center" vertical="center" wrapText="1"/>
    </xf>
    <xf numFmtId="49" fontId="30" fillId="0" borderId="4" xfId="1" applyNumberFormat="1" applyFont="1" applyFill="1" applyBorder="1" applyAlignment="1" applyProtection="1">
      <alignment horizontal="center" vertical="center" wrapText="1"/>
    </xf>
    <xf numFmtId="49" fontId="30" fillId="0" borderId="3" xfId="1" applyNumberFormat="1" applyFont="1" applyFill="1" applyBorder="1" applyAlignment="1" applyProtection="1">
      <alignment horizontal="center" vertical="center" wrapText="1"/>
    </xf>
    <xf numFmtId="49" fontId="30" fillId="0" borderId="6" xfId="1" applyNumberFormat="1" applyFont="1" applyFill="1" applyBorder="1" applyAlignment="1" applyProtection="1">
      <alignment horizontal="center" vertical="center" wrapText="1"/>
    </xf>
    <xf numFmtId="49" fontId="30" fillId="0" borderId="8" xfId="1" applyNumberFormat="1" applyFont="1" applyFill="1" applyBorder="1" applyAlignment="1" applyProtection="1">
      <alignment horizontal="center" vertical="center" wrapText="1"/>
    </xf>
    <xf numFmtId="0" fontId="30" fillId="0" borderId="6" xfId="1" applyNumberFormat="1" applyFont="1" applyFill="1" applyBorder="1" applyAlignment="1" applyProtection="1">
      <alignment horizontal="center" vertical="center" wrapText="1"/>
    </xf>
    <xf numFmtId="0" fontId="30" fillId="0" borderId="8" xfId="1" applyNumberFormat="1" applyFont="1" applyFill="1" applyBorder="1" applyAlignment="1" applyProtection="1">
      <alignment horizontal="center" vertical="center" wrapText="1"/>
    </xf>
    <xf numFmtId="49" fontId="30" fillId="0" borderId="9" xfId="1" applyNumberFormat="1" applyFont="1" applyFill="1" applyBorder="1" applyAlignment="1" applyProtection="1">
      <alignment horizontal="center" vertical="center" wrapText="1"/>
    </xf>
    <xf numFmtId="49" fontId="30" fillId="0" borderId="10" xfId="1" applyNumberFormat="1" applyFont="1" applyFill="1" applyBorder="1" applyAlignment="1" applyProtection="1">
      <alignment horizontal="center" vertical="center" wrapText="1"/>
    </xf>
    <xf numFmtId="164" fontId="30" fillId="0" borderId="6" xfId="1" applyNumberFormat="1" applyFont="1" applyFill="1" applyBorder="1" applyAlignment="1" applyProtection="1">
      <alignment horizontal="center" vertical="center" wrapText="1"/>
    </xf>
    <xf numFmtId="164" fontId="30" fillId="0" borderId="8" xfId="1" applyNumberFormat="1" applyFont="1" applyFill="1" applyBorder="1" applyAlignment="1" applyProtection="1">
      <alignment horizontal="center" vertical="center" wrapText="1"/>
    </xf>
    <xf numFmtId="0" fontId="15" fillId="0" borderId="2" xfId="0" applyFont="1" applyBorder="1" applyAlignment="1">
      <alignment horizontal="right"/>
    </xf>
    <xf numFmtId="0" fontId="15" fillId="0" borderId="4" xfId="0" applyFont="1" applyBorder="1" applyAlignment="1">
      <alignment horizontal="right"/>
    </xf>
    <xf numFmtId="0" fontId="15" fillId="0" borderId="3" xfId="0" applyFont="1" applyBorder="1" applyAlignment="1">
      <alignment horizontal="right"/>
    </xf>
    <xf numFmtId="0" fontId="14" fillId="0" borderId="2" xfId="0" applyFont="1" applyBorder="1" applyAlignment="1">
      <alignment horizontal="right"/>
    </xf>
    <xf numFmtId="0" fontId="14" fillId="0" borderId="4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0" fontId="10" fillId="0" borderId="0" xfId="0" applyFont="1" applyAlignment="1">
      <alignment horizontal="center" vertical="center"/>
    </xf>
    <xf numFmtId="0" fontId="35" fillId="0" borderId="28" xfId="0" applyFont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35" fillId="0" borderId="30" xfId="0" applyFont="1" applyBorder="1" applyAlignment="1">
      <alignment horizontal="center" vertical="center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6" xfId="0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35" fillId="0" borderId="21" xfId="0" applyFont="1" applyBorder="1" applyAlignment="1">
      <alignment horizontal="center" vertical="center"/>
    </xf>
    <xf numFmtId="0" fontId="35" fillId="0" borderId="17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22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0" fontId="35" fillId="0" borderId="23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 wrapText="1"/>
    </xf>
    <xf numFmtId="0" fontId="35" fillId="0" borderId="20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 xr:uid="{F316AD0A-A76D-4B7C-854E-20CC9CC0DADF}"/>
    <cellStyle name="Обычный 3" xfId="2" xr:uid="{BC9CAD33-BFF4-4CE3-850C-AE48BC9A9CEC}"/>
    <cellStyle name="Обычный 4" xfId="3" xr:uid="{53F4C086-CA4C-476B-89CE-2C6B075555AC}"/>
    <cellStyle name="Обычный 4 2" xfId="4" xr:uid="{55EA5F9F-83E0-445A-AB1D-0272F037FC5E}"/>
    <cellStyle name="Обычный 5" xfId="5" xr:uid="{03902C3C-18D5-445C-B845-5BA2D393F9D0}"/>
    <cellStyle name="Обычный 6" xfId="6" xr:uid="{3091D09F-130C-4260-B61E-D6EA66B107D2}"/>
    <cellStyle name="Процентный" xfId="7" builtinId="5"/>
  </cellStyles>
  <dxfs count="19"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numFmt numFmtId="4" formatCode="#,##0.00"/>
      <fill>
        <patternFill patternType="none">
          <bgColor auto="1"/>
        </patternFill>
      </fill>
    </dxf>
    <dxf>
      <font>
        <b val="0"/>
        <i val="0"/>
        <strike val="0"/>
        <color auto="1"/>
      </font>
      <fill>
        <patternFill>
          <bgColor theme="4" tint="0.79998168889431442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  <pageSetUpPr fitToPage="1"/>
  </sheetPr>
  <dimension ref="A1:P95"/>
  <sheetViews>
    <sheetView tabSelected="1" view="pageBreakPreview" zoomScale="70" zoomScaleNormal="70" zoomScaleSheetLayoutView="70" zoomScalePageLayoutView="55" workbookViewId="0">
      <selection activeCell="A2" sqref="A2:G2"/>
    </sheetView>
  </sheetViews>
  <sheetFormatPr defaultRowHeight="15" x14ac:dyDescent="0.25"/>
  <cols>
    <col min="1" max="1" width="7.7109375" customWidth="1"/>
    <col min="2" max="2" width="34.140625" customWidth="1"/>
    <col min="3" max="3" width="119.140625" bestFit="1" customWidth="1"/>
    <col min="4" max="4" width="11.28515625" customWidth="1"/>
    <col min="5" max="5" width="18.7109375" bestFit="1" customWidth="1"/>
    <col min="6" max="6" width="32.140625" customWidth="1"/>
    <col min="7" max="7" width="44.7109375" customWidth="1"/>
    <col min="8" max="8" width="77.85546875" style="96" customWidth="1"/>
    <col min="9" max="9" width="61.7109375" customWidth="1"/>
  </cols>
  <sheetData>
    <row r="1" spans="1:9" ht="20.25" x14ac:dyDescent="0.3">
      <c r="A1" s="176" t="s">
        <v>47</v>
      </c>
      <c r="B1" s="176"/>
      <c r="C1" s="176"/>
      <c r="D1" s="176"/>
      <c r="E1" s="176"/>
      <c r="F1" s="176"/>
      <c r="G1" s="176"/>
      <c r="H1" s="81"/>
      <c r="I1" s="81"/>
    </row>
    <row r="2" spans="1:9" ht="112.5" customHeight="1" x14ac:dyDescent="0.25">
      <c r="A2" s="177" t="s">
        <v>206</v>
      </c>
      <c r="B2" s="177"/>
      <c r="C2" s="177"/>
      <c r="D2" s="177"/>
      <c r="E2" s="177"/>
      <c r="F2" s="177"/>
      <c r="G2" s="177"/>
      <c r="H2" s="34" t="s">
        <v>48</v>
      </c>
      <c r="I2" s="34" t="s">
        <v>5</v>
      </c>
    </row>
    <row r="3" spans="1:9" ht="20.25" x14ac:dyDescent="0.3">
      <c r="A3" s="180" t="s">
        <v>207</v>
      </c>
      <c r="B3" s="180"/>
      <c r="C3" s="180"/>
      <c r="D3" s="181"/>
      <c r="E3" s="181"/>
      <c r="F3" s="181"/>
      <c r="G3" s="181"/>
      <c r="H3" s="84" t="s">
        <v>208</v>
      </c>
      <c r="I3" s="3"/>
    </row>
    <row r="4" spans="1:9" ht="41.25" customHeight="1" x14ac:dyDescent="0.25">
      <c r="A4" s="178" t="s">
        <v>470</v>
      </c>
      <c r="B4" s="178"/>
      <c r="C4" s="178"/>
      <c r="D4" s="178"/>
      <c r="E4" s="178"/>
      <c r="F4" s="178"/>
      <c r="G4" s="178"/>
      <c r="H4" s="92"/>
      <c r="I4" s="37"/>
    </row>
    <row r="5" spans="1:9" ht="19.5" x14ac:dyDescent="0.25">
      <c r="A5" s="179" t="s">
        <v>41</v>
      </c>
      <c r="B5" s="179"/>
      <c r="C5" s="179"/>
      <c r="D5" s="179"/>
      <c r="E5" s="179"/>
      <c r="F5" s="179"/>
      <c r="G5" s="179"/>
      <c r="H5" s="92"/>
      <c r="I5" s="37"/>
    </row>
    <row r="6" spans="1:9" ht="18.75" customHeight="1" x14ac:dyDescent="0.25">
      <c r="A6" s="172" t="s">
        <v>46</v>
      </c>
      <c r="B6" s="172"/>
      <c r="C6" s="174" t="s">
        <v>94</v>
      </c>
      <c r="D6" s="174"/>
      <c r="E6" s="174"/>
      <c r="F6" s="174"/>
      <c r="G6" s="174"/>
      <c r="H6" s="92"/>
      <c r="I6" s="37"/>
    </row>
    <row r="7" spans="1:9" ht="18.75" customHeight="1" x14ac:dyDescent="0.25">
      <c r="A7" s="172" t="s">
        <v>95</v>
      </c>
      <c r="B7" s="172"/>
      <c r="C7" s="174" t="s">
        <v>96</v>
      </c>
      <c r="D7" s="174"/>
      <c r="E7" s="174"/>
      <c r="F7" s="174"/>
      <c r="G7" s="174"/>
      <c r="H7" s="92"/>
      <c r="I7" s="37"/>
    </row>
    <row r="8" spans="1:9" ht="18.75" customHeight="1" x14ac:dyDescent="0.25">
      <c r="A8" s="172" t="s">
        <v>45</v>
      </c>
      <c r="B8" s="172"/>
      <c r="C8" s="175"/>
      <c r="D8" s="175"/>
      <c r="E8" s="175"/>
      <c r="F8" s="175"/>
      <c r="G8" s="175"/>
      <c r="H8" s="92"/>
      <c r="I8" s="37"/>
    </row>
    <row r="9" spans="1:9" ht="18.75" customHeight="1" x14ac:dyDescent="0.25">
      <c r="A9" s="172" t="s">
        <v>38</v>
      </c>
      <c r="B9" s="172"/>
      <c r="C9" s="174" t="s">
        <v>66</v>
      </c>
      <c r="D9" s="174"/>
      <c r="E9" s="174"/>
      <c r="F9" s="174"/>
      <c r="G9" s="174"/>
      <c r="H9" s="92"/>
      <c r="I9" s="37"/>
    </row>
    <row r="10" spans="1:9" ht="18.75" customHeight="1" x14ac:dyDescent="0.25">
      <c r="A10" s="172" t="s">
        <v>39</v>
      </c>
      <c r="B10" s="172"/>
      <c r="C10" s="174" t="s">
        <v>67</v>
      </c>
      <c r="D10" s="174"/>
      <c r="E10" s="174"/>
      <c r="F10" s="174"/>
      <c r="G10" s="174"/>
      <c r="H10" s="92"/>
      <c r="I10" s="37"/>
    </row>
    <row r="11" spans="1:9" ht="18.75" customHeight="1" x14ac:dyDescent="0.25">
      <c r="A11" s="172" t="s">
        <v>44</v>
      </c>
      <c r="B11" s="172"/>
      <c r="C11" s="173" t="s">
        <v>471</v>
      </c>
      <c r="D11" s="173"/>
      <c r="E11" s="173"/>
      <c r="F11" s="173"/>
      <c r="G11" s="173"/>
      <c r="H11" s="92"/>
      <c r="I11" s="37"/>
    </row>
    <row r="12" spans="1:9" ht="18.75" x14ac:dyDescent="0.25">
      <c r="A12" s="172" t="s">
        <v>51</v>
      </c>
      <c r="B12" s="172"/>
      <c r="C12" s="173" t="s">
        <v>469</v>
      </c>
      <c r="D12" s="173"/>
      <c r="E12" s="173"/>
      <c r="F12" s="173"/>
      <c r="G12" s="173"/>
      <c r="H12" s="92"/>
      <c r="I12" s="37"/>
    </row>
    <row r="13" spans="1:9" ht="18.75" x14ac:dyDescent="0.25">
      <c r="A13" s="172" t="s">
        <v>40</v>
      </c>
      <c r="B13" s="172"/>
      <c r="C13" s="173" t="s">
        <v>472</v>
      </c>
      <c r="D13" s="173"/>
      <c r="E13" s="173"/>
      <c r="F13" s="173"/>
      <c r="G13" s="173"/>
      <c r="H13" s="92"/>
      <c r="I13" s="37"/>
    </row>
    <row r="14" spans="1:9" ht="15.75" x14ac:dyDescent="0.25">
      <c r="A14" s="142"/>
      <c r="B14" s="142"/>
      <c r="C14" s="142"/>
      <c r="D14" s="142"/>
      <c r="E14" s="142"/>
      <c r="F14" s="142"/>
      <c r="G14" s="142"/>
      <c r="H14" s="92"/>
      <c r="I14" s="37"/>
    </row>
    <row r="15" spans="1:9" ht="39" customHeight="1" x14ac:dyDescent="0.25">
      <c r="A15" s="34" t="s">
        <v>0</v>
      </c>
      <c r="B15" s="34" t="s">
        <v>2</v>
      </c>
      <c r="C15" s="34" t="s">
        <v>1</v>
      </c>
      <c r="D15" s="34" t="s">
        <v>3</v>
      </c>
      <c r="E15" s="34" t="s">
        <v>4</v>
      </c>
      <c r="F15" s="35" t="s">
        <v>42</v>
      </c>
      <c r="G15" s="35" t="s">
        <v>43</v>
      </c>
      <c r="H15" s="92"/>
      <c r="I15" s="37"/>
    </row>
    <row r="16" spans="1:9" ht="15.75" x14ac:dyDescent="0.25">
      <c r="A16" s="41" t="s">
        <v>773</v>
      </c>
      <c r="B16" s="42"/>
      <c r="C16" s="42"/>
      <c r="D16" s="42"/>
      <c r="E16" s="42"/>
      <c r="F16" s="42"/>
      <c r="G16" s="42"/>
      <c r="H16" s="92"/>
      <c r="I16" s="37"/>
    </row>
    <row r="17" spans="1:10" ht="157.5" x14ac:dyDescent="0.25">
      <c r="A17" s="36">
        <v>1</v>
      </c>
      <c r="B17" s="37" t="s">
        <v>485</v>
      </c>
      <c r="C17" s="38" t="s">
        <v>774</v>
      </c>
      <c r="D17" s="36" t="s">
        <v>224</v>
      </c>
      <c r="E17" s="40">
        <f>SUMIF('ЛСР №1'!$B$17:$B$618,B17,'ЛСР №1'!$F$17:$F$618)</f>
        <v>391.47</v>
      </c>
      <c r="F17" s="39"/>
      <c r="G17" s="40">
        <f>F17*E17</f>
        <v>0</v>
      </c>
      <c r="H17" s="92"/>
      <c r="I17" s="37"/>
      <c r="J17" s="1"/>
    </row>
    <row r="18" spans="1:10" ht="157.5" x14ac:dyDescent="0.25">
      <c r="A18" s="2">
        <v>2</v>
      </c>
      <c r="B18" s="3" t="s">
        <v>492</v>
      </c>
      <c r="C18" s="4" t="s">
        <v>775</v>
      </c>
      <c r="D18" s="2" t="s">
        <v>224</v>
      </c>
      <c r="E18" s="5">
        <f>SUMIF('ЛСР №1'!$B$17:$B$618,B18,'ЛСР №1'!$F$17:$F$618)</f>
        <v>17.989999999999998</v>
      </c>
      <c r="F18" s="14"/>
      <c r="G18" s="5">
        <f>F18*E18</f>
        <v>0</v>
      </c>
      <c r="H18" s="84"/>
      <c r="I18" s="3"/>
      <c r="J18" s="1"/>
    </row>
    <row r="19" spans="1:10" ht="157.5" x14ac:dyDescent="0.25">
      <c r="A19" s="36">
        <v>3</v>
      </c>
      <c r="B19" s="3" t="s">
        <v>510</v>
      </c>
      <c r="C19" s="4" t="s">
        <v>776</v>
      </c>
      <c r="D19" s="2" t="s">
        <v>224</v>
      </c>
      <c r="E19" s="5">
        <f>SUMIF('ЛСР №1'!$B$17:$B$618,B19,'ЛСР №1'!$F$17:$F$618)</f>
        <v>62751.02</v>
      </c>
      <c r="F19" s="39"/>
      <c r="G19" s="5">
        <f>F19*E19</f>
        <v>0</v>
      </c>
      <c r="H19" s="84"/>
      <c r="I19" s="3"/>
      <c r="J19" s="1"/>
    </row>
    <row r="20" spans="1:10" ht="94.5" x14ac:dyDescent="0.25">
      <c r="A20" s="2">
        <v>4</v>
      </c>
      <c r="B20" s="3" t="s">
        <v>513</v>
      </c>
      <c r="C20" s="4" t="s">
        <v>777</v>
      </c>
      <c r="D20" s="2" t="s">
        <v>224</v>
      </c>
      <c r="E20" s="5">
        <f>SUMIF('ЛСР №1'!$B$17:$B$618,B20,'ЛСР №1'!$F$17:$F$618)</f>
        <v>7857.78</v>
      </c>
      <c r="F20" s="14"/>
      <c r="G20" s="5">
        <f t="shared" ref="G20:G25" si="0">F20*E20</f>
        <v>0</v>
      </c>
      <c r="H20" s="84"/>
      <c r="I20" s="3"/>
      <c r="J20" s="1"/>
    </row>
    <row r="21" spans="1:10" ht="126" x14ac:dyDescent="0.25">
      <c r="A21" s="36">
        <v>5</v>
      </c>
      <c r="B21" s="3" t="s">
        <v>481</v>
      </c>
      <c r="C21" s="4" t="s">
        <v>778</v>
      </c>
      <c r="D21" s="2" t="s">
        <v>224</v>
      </c>
      <c r="E21" s="5">
        <f>SUMIF('ЛСР №1'!$B$17:$B$618,B21,'ЛСР №1'!$F$17:$F$618)</f>
        <v>21051.29</v>
      </c>
      <c r="F21" s="39"/>
      <c r="G21" s="5">
        <f t="shared" si="0"/>
        <v>0</v>
      </c>
      <c r="H21" s="84"/>
      <c r="I21" s="3"/>
      <c r="J21" s="1"/>
    </row>
    <row r="22" spans="1:10" ht="94.5" x14ac:dyDescent="0.25">
      <c r="A22" s="2">
        <v>6</v>
      </c>
      <c r="B22" s="3" t="s">
        <v>505</v>
      </c>
      <c r="C22" s="4" t="s">
        <v>779</v>
      </c>
      <c r="D22" s="2" t="s">
        <v>224</v>
      </c>
      <c r="E22" s="5">
        <f>SUMIF('ЛСР №1'!$B$17:$B$618,B22,'ЛСР №1'!$F$17:$F$618)</f>
        <v>5385.73</v>
      </c>
      <c r="F22" s="14"/>
      <c r="G22" s="5">
        <f t="shared" si="0"/>
        <v>0</v>
      </c>
      <c r="H22" s="84"/>
      <c r="I22" s="3"/>
      <c r="J22" s="1"/>
    </row>
    <row r="23" spans="1:10" ht="141.75" x14ac:dyDescent="0.25">
      <c r="A23" s="36"/>
      <c r="B23" s="3" t="s">
        <v>493</v>
      </c>
      <c r="C23" s="4" t="s">
        <v>780</v>
      </c>
      <c r="D23" s="2" t="s">
        <v>224</v>
      </c>
      <c r="E23" s="5">
        <f>SUMIF('ЛСР №1'!$B$17:$B$618,B23,'ЛСР №1'!$F$17:$F$618)</f>
        <v>962.65</v>
      </c>
      <c r="F23" s="39"/>
      <c r="G23" s="5">
        <f t="shared" si="0"/>
        <v>0</v>
      </c>
      <c r="H23" s="105"/>
      <c r="I23" s="3"/>
      <c r="J23" s="1"/>
    </row>
    <row r="24" spans="1:10" ht="78.75" x14ac:dyDescent="0.25">
      <c r="A24" s="36"/>
      <c r="B24" s="3" t="s">
        <v>518</v>
      </c>
      <c r="C24" s="4" t="s">
        <v>781</v>
      </c>
      <c r="D24" s="2" t="s">
        <v>224</v>
      </c>
      <c r="E24" s="5">
        <f>SUMIF('ЛСР №1'!$B$17:$B$618,B24,'ЛСР №1'!$F$17:$F$618)</f>
        <v>537.15</v>
      </c>
      <c r="F24" s="39"/>
      <c r="G24" s="5">
        <f t="shared" si="0"/>
        <v>0</v>
      </c>
      <c r="H24" s="105"/>
      <c r="I24" s="3"/>
      <c r="J24" s="1"/>
    </row>
    <row r="25" spans="1:10" ht="189" x14ac:dyDescent="0.25">
      <c r="A25" s="36">
        <v>7</v>
      </c>
      <c r="B25" s="3" t="s">
        <v>474</v>
      </c>
      <c r="C25" s="4" t="s">
        <v>782</v>
      </c>
      <c r="D25" s="2" t="s">
        <v>224</v>
      </c>
      <c r="E25" s="5">
        <f>SUMIF('ЛСР №1'!$B$17:$B$618,B25,'ЛСР №1'!$F$17:$F$618)</f>
        <v>3744.25</v>
      </c>
      <c r="F25" s="39"/>
      <c r="G25" s="5">
        <f t="shared" si="0"/>
        <v>0</v>
      </c>
      <c r="H25" s="84"/>
      <c r="I25" s="3"/>
      <c r="J25" s="1"/>
    </row>
    <row r="26" spans="1:10" ht="15.75" x14ac:dyDescent="0.25">
      <c r="A26" s="41" t="s">
        <v>10</v>
      </c>
      <c r="B26" s="42"/>
      <c r="C26" s="42"/>
      <c r="D26" s="42"/>
      <c r="E26" s="42"/>
      <c r="F26" s="42"/>
      <c r="G26" s="42"/>
      <c r="H26" s="93"/>
      <c r="I26" s="43"/>
    </row>
    <row r="27" spans="1:10" ht="15.75" x14ac:dyDescent="0.25">
      <c r="A27" s="2">
        <v>1</v>
      </c>
      <c r="B27" s="3" t="s">
        <v>484</v>
      </c>
      <c r="C27" s="4" t="s">
        <v>225</v>
      </c>
      <c r="D27" s="2" t="s">
        <v>226</v>
      </c>
      <c r="E27" s="5">
        <f>SUMIF('ЛСР №1'!$B$17:$B$618,B27,'ЛСР №1'!$F$17:$F$618)</f>
        <v>16240.25</v>
      </c>
      <c r="F27" s="140" t="s">
        <v>204</v>
      </c>
      <c r="G27" s="141"/>
      <c r="H27" s="94"/>
      <c r="I27" s="30"/>
      <c r="J27" s="1"/>
    </row>
    <row r="28" spans="1:10" ht="15.75" x14ac:dyDescent="0.25">
      <c r="A28" s="2">
        <v>2</v>
      </c>
      <c r="B28" s="3" t="s">
        <v>508</v>
      </c>
      <c r="C28" s="4" t="s">
        <v>509</v>
      </c>
      <c r="D28" s="2" t="s">
        <v>226</v>
      </c>
      <c r="E28" s="5">
        <f>SUMIF('ЛСР №1'!$B$17:$B$618,B28,'ЛСР №1'!$F$17:$F$618)</f>
        <v>147.22</v>
      </c>
      <c r="F28" s="140" t="s">
        <v>204</v>
      </c>
      <c r="G28" s="141"/>
      <c r="H28" s="94"/>
      <c r="I28" s="30"/>
      <c r="J28" s="1"/>
    </row>
    <row r="29" spans="1:10" ht="15.75" x14ac:dyDescent="0.25">
      <c r="A29" s="2">
        <v>3</v>
      </c>
      <c r="B29" s="3" t="s">
        <v>506</v>
      </c>
      <c r="C29" s="4" t="s">
        <v>507</v>
      </c>
      <c r="D29" s="2" t="s">
        <v>226</v>
      </c>
      <c r="E29" s="5">
        <f>SUMIF('ЛСР №1'!$B$17:$B$618,B29,'ЛСР №1'!$F$17:$F$618)</f>
        <v>941.19</v>
      </c>
      <c r="F29" s="140" t="s">
        <v>204</v>
      </c>
      <c r="G29" s="141"/>
      <c r="H29" s="94"/>
      <c r="I29" s="30"/>
      <c r="J29" s="1"/>
    </row>
    <row r="30" spans="1:10" ht="15.75" x14ac:dyDescent="0.25">
      <c r="A30" s="2">
        <v>4</v>
      </c>
      <c r="B30" s="3" t="s">
        <v>516</v>
      </c>
      <c r="C30" s="4" t="s">
        <v>517</v>
      </c>
      <c r="D30" s="2" t="s">
        <v>226</v>
      </c>
      <c r="E30" s="5">
        <f>SUMIF('ЛСР №1'!$B$17:$B$618,B30,'ЛСР №1'!$F$17:$F$618)</f>
        <v>258.26</v>
      </c>
      <c r="F30" s="140" t="s">
        <v>204</v>
      </c>
      <c r="G30" s="141"/>
      <c r="H30" s="94"/>
      <c r="I30" s="30"/>
      <c r="J30" s="1"/>
    </row>
    <row r="31" spans="1:10" ht="15.75" x14ac:dyDescent="0.25">
      <c r="A31" s="2">
        <v>5</v>
      </c>
      <c r="B31" s="3" t="s">
        <v>494</v>
      </c>
      <c r="C31" s="4" t="s">
        <v>495</v>
      </c>
      <c r="D31" s="2" t="s">
        <v>6</v>
      </c>
      <c r="E31" s="5">
        <f>SUMIF('ЛСР №1'!$B$17:$B$618,B31,'ЛСР №1'!$F$17:$F$618)</f>
        <v>102.5</v>
      </c>
      <c r="F31" s="140" t="s">
        <v>204</v>
      </c>
      <c r="G31" s="141"/>
      <c r="H31" s="94"/>
      <c r="I31" s="30"/>
      <c r="J31" s="1"/>
    </row>
    <row r="32" spans="1:10" ht="15.75" x14ac:dyDescent="0.25">
      <c r="A32" s="2">
        <v>6</v>
      </c>
      <c r="B32" s="3" t="s">
        <v>475</v>
      </c>
      <c r="C32" s="4" t="s">
        <v>476</v>
      </c>
      <c r="D32" s="2" t="s">
        <v>224</v>
      </c>
      <c r="E32" s="5">
        <f>SUMIF('ЛСР №1'!$B$17:$B$618,B32,'ЛСР №1'!$F$17:$F$618)</f>
        <v>5676.15</v>
      </c>
      <c r="F32" s="14"/>
      <c r="G32" s="5">
        <f>F32*E32</f>
        <v>0</v>
      </c>
      <c r="H32" s="94"/>
      <c r="I32" s="30"/>
      <c r="J32" s="1"/>
    </row>
    <row r="33" spans="1:10" ht="15.75" x14ac:dyDescent="0.25">
      <c r="A33" s="2">
        <v>7</v>
      </c>
      <c r="B33" s="3" t="s">
        <v>524</v>
      </c>
      <c r="C33" s="4" t="s">
        <v>525</v>
      </c>
      <c r="D33" s="2" t="s">
        <v>224</v>
      </c>
      <c r="E33" s="5">
        <f>SUMIF('ЛСР №1'!$B$17:$B$618,B33,'ЛСР №1'!$F$17:$F$618)</f>
        <v>2748.54</v>
      </c>
      <c r="F33" s="14"/>
      <c r="G33" s="5">
        <f>F33*E33</f>
        <v>0</v>
      </c>
      <c r="H33" s="94"/>
      <c r="I33" s="30"/>
      <c r="J33" s="1"/>
    </row>
    <row r="34" spans="1:10" ht="15.75" x14ac:dyDescent="0.25">
      <c r="A34" s="2">
        <v>8</v>
      </c>
      <c r="B34" s="3" t="s">
        <v>501</v>
      </c>
      <c r="C34" s="4" t="s">
        <v>502</v>
      </c>
      <c r="D34" s="2" t="s">
        <v>224</v>
      </c>
      <c r="E34" s="5">
        <f>SUMIF('ЛСР №1'!$B$17:$B$618,B34,'ЛСР №1'!$F$17:$F$618)</f>
        <v>313.45999999999998</v>
      </c>
      <c r="F34" s="140" t="s">
        <v>204</v>
      </c>
      <c r="G34" s="141"/>
      <c r="H34" s="94"/>
      <c r="I34" s="30"/>
      <c r="J34" s="1"/>
    </row>
    <row r="35" spans="1:10" ht="15.75" x14ac:dyDescent="0.25">
      <c r="A35" s="2">
        <v>9</v>
      </c>
      <c r="B35" s="3" t="s">
        <v>503</v>
      </c>
      <c r="C35" s="4" t="s">
        <v>504</v>
      </c>
      <c r="D35" s="2" t="s">
        <v>224</v>
      </c>
      <c r="E35" s="5">
        <f>SUMIF('ЛСР №1'!$B$17:$B$618,B35,'ЛСР №1'!$F$17:$F$618)</f>
        <v>518.58000000000004</v>
      </c>
      <c r="F35" s="140" t="s">
        <v>204</v>
      </c>
      <c r="G35" s="141"/>
      <c r="H35" s="94"/>
      <c r="I35" s="30"/>
      <c r="J35" s="1"/>
    </row>
    <row r="36" spans="1:10" ht="15.75" x14ac:dyDescent="0.25">
      <c r="A36" s="2">
        <v>10</v>
      </c>
      <c r="B36" s="3" t="s">
        <v>521</v>
      </c>
      <c r="C36" s="4" t="s">
        <v>522</v>
      </c>
      <c r="D36" s="2" t="s">
        <v>224</v>
      </c>
      <c r="E36" s="5">
        <f>SUMIF('ЛСР №1'!$B$17:$B$618,B36,'ЛСР №1'!$F$17:$F$618)</f>
        <v>178.79</v>
      </c>
      <c r="F36" s="140" t="s">
        <v>204</v>
      </c>
      <c r="G36" s="141"/>
      <c r="H36" s="94"/>
      <c r="I36" s="30"/>
      <c r="J36" s="1"/>
    </row>
    <row r="37" spans="1:10" ht="15.75" x14ac:dyDescent="0.25">
      <c r="A37" s="2">
        <v>11</v>
      </c>
      <c r="B37" s="3" t="s">
        <v>519</v>
      </c>
      <c r="C37" s="4" t="s">
        <v>520</v>
      </c>
      <c r="D37" s="2" t="s">
        <v>231</v>
      </c>
      <c r="E37" s="103">
        <f>SUMIF('ЛСР №1'!$B$17:$B$618,B37,'ЛСР №1'!$F$17:$F$618)</f>
        <v>27.661000000000001</v>
      </c>
      <c r="F37" s="14"/>
      <c r="G37" s="5">
        <f>F37*E37</f>
        <v>0</v>
      </c>
      <c r="H37" s="94"/>
      <c r="I37" s="30"/>
      <c r="J37" s="1"/>
    </row>
    <row r="38" spans="1:10" ht="15.75" x14ac:dyDescent="0.25">
      <c r="A38" s="2">
        <v>12</v>
      </c>
      <c r="B38" s="3" t="s">
        <v>488</v>
      </c>
      <c r="C38" s="4" t="s">
        <v>489</v>
      </c>
      <c r="D38" s="2" t="s">
        <v>228</v>
      </c>
      <c r="E38" s="5">
        <f>SUMIF('ЛСР №1'!$B$17:$B$618,B38,'ЛСР №1'!$F$17:$F$618)</f>
        <v>7139.41</v>
      </c>
      <c r="F38" s="140" t="s">
        <v>204</v>
      </c>
      <c r="G38" s="141"/>
      <c r="H38" s="94"/>
      <c r="I38" s="30"/>
      <c r="J38" s="1"/>
    </row>
    <row r="39" spans="1:10" ht="15.75" x14ac:dyDescent="0.25">
      <c r="A39" s="2">
        <v>13</v>
      </c>
      <c r="B39" s="3" t="s">
        <v>523</v>
      </c>
      <c r="C39" s="4" t="s">
        <v>229</v>
      </c>
      <c r="D39" s="2" t="s">
        <v>228</v>
      </c>
      <c r="E39" s="5">
        <f>SUMIF('ЛСР №1'!$B$17:$B$618,B39,'ЛСР №1'!$F$17:$F$618)</f>
        <v>63.33</v>
      </c>
      <c r="F39" s="140" t="s">
        <v>204</v>
      </c>
      <c r="G39" s="141"/>
      <c r="H39" s="94"/>
      <c r="I39" s="30"/>
      <c r="J39" s="1"/>
    </row>
    <row r="40" spans="1:10" ht="15.75" x14ac:dyDescent="0.25">
      <c r="A40" s="2">
        <v>14</v>
      </c>
      <c r="B40" s="3" t="s">
        <v>497</v>
      </c>
      <c r="C40" s="4" t="s">
        <v>498</v>
      </c>
      <c r="D40" s="2" t="s">
        <v>228</v>
      </c>
      <c r="E40" s="5">
        <f>SUMIF('ЛСР №1'!$B$17:$B$618,B40,'ЛСР №1'!$F$17:$F$618)</f>
        <v>88.88</v>
      </c>
      <c r="F40" s="140" t="s">
        <v>204</v>
      </c>
      <c r="G40" s="141"/>
      <c r="H40" s="94"/>
      <c r="I40" s="30"/>
      <c r="J40" s="1"/>
    </row>
    <row r="41" spans="1:10" ht="15.75" x14ac:dyDescent="0.25">
      <c r="A41" s="2">
        <v>15</v>
      </c>
      <c r="B41" s="3" t="s">
        <v>499</v>
      </c>
      <c r="C41" s="4" t="s">
        <v>500</v>
      </c>
      <c r="D41" s="2" t="s">
        <v>228</v>
      </c>
      <c r="E41" s="5">
        <f>SUMIF('ЛСР №1'!$B$17:$B$618,B41,'ЛСР №1'!$F$17:$F$618)</f>
        <v>40.33</v>
      </c>
      <c r="F41" s="140" t="s">
        <v>204</v>
      </c>
      <c r="G41" s="141"/>
      <c r="H41" s="94"/>
      <c r="I41" s="30"/>
      <c r="J41" s="1"/>
    </row>
    <row r="42" spans="1:10" ht="15.75" x14ac:dyDescent="0.25">
      <c r="A42" s="2">
        <v>16</v>
      </c>
      <c r="B42" s="3" t="s">
        <v>496</v>
      </c>
      <c r="C42" s="4" t="s">
        <v>227</v>
      </c>
      <c r="D42" s="2" t="s">
        <v>228</v>
      </c>
      <c r="E42" s="5">
        <f>SUMIF('ЛСР №1'!$B$17:$B$618,B42,'ЛСР №1'!$F$17:$F$618)</f>
        <v>9626.5</v>
      </c>
      <c r="F42" s="140" t="s">
        <v>204</v>
      </c>
      <c r="G42" s="141"/>
      <c r="H42" s="94"/>
      <c r="I42" s="30"/>
      <c r="J42" s="1"/>
    </row>
    <row r="43" spans="1:10" ht="15.75" x14ac:dyDescent="0.25">
      <c r="A43" s="2">
        <v>17</v>
      </c>
      <c r="B43" s="3" t="s">
        <v>482</v>
      </c>
      <c r="C43" s="4" t="s">
        <v>483</v>
      </c>
      <c r="D43" s="2" t="s">
        <v>228</v>
      </c>
      <c r="E43" s="5">
        <f>SUMIF('ЛСР №1'!$B$17:$B$618,B43,'ЛСР №1'!$F$17:$F$618)</f>
        <v>50523.09</v>
      </c>
      <c r="F43" s="140" t="s">
        <v>204</v>
      </c>
      <c r="G43" s="141"/>
      <c r="H43" s="94"/>
      <c r="I43" s="30"/>
      <c r="J43" s="1"/>
    </row>
    <row r="44" spans="1:10" ht="15.75" x14ac:dyDescent="0.25">
      <c r="A44" s="2">
        <v>18</v>
      </c>
      <c r="B44" s="3" t="s">
        <v>511</v>
      </c>
      <c r="C44" s="4" t="s">
        <v>512</v>
      </c>
      <c r="D44" s="2" t="s">
        <v>228</v>
      </c>
      <c r="E44" s="5">
        <f>SUMIF('ЛСР №1'!$B$17:$B$618,B44,'ЛСР №1'!$F$17:$F$618)</f>
        <v>1004016.32</v>
      </c>
      <c r="F44" s="140" t="s">
        <v>204</v>
      </c>
      <c r="G44" s="141"/>
      <c r="H44" s="94"/>
      <c r="I44" s="30"/>
      <c r="J44" s="1"/>
    </row>
    <row r="45" spans="1:10" ht="15.75" x14ac:dyDescent="0.25">
      <c r="A45" s="2">
        <v>19</v>
      </c>
      <c r="B45" s="3" t="s">
        <v>490</v>
      </c>
      <c r="C45" s="4" t="s">
        <v>491</v>
      </c>
      <c r="D45" s="2" t="s">
        <v>228</v>
      </c>
      <c r="E45" s="5">
        <f>SUMIF('ЛСР №1'!$B$17:$B$618,B45,'ЛСР №1'!$F$17:$F$618)</f>
        <v>6839.2</v>
      </c>
      <c r="F45" s="140" t="s">
        <v>204</v>
      </c>
      <c r="G45" s="141"/>
      <c r="H45" s="94"/>
      <c r="I45" s="30"/>
      <c r="J45" s="1"/>
    </row>
    <row r="46" spans="1:10" ht="15.75" x14ac:dyDescent="0.25">
      <c r="A46" s="2">
        <v>20</v>
      </c>
      <c r="B46" s="3" t="s">
        <v>514</v>
      </c>
      <c r="C46" s="4" t="s">
        <v>515</v>
      </c>
      <c r="D46" s="2" t="s">
        <v>228</v>
      </c>
      <c r="E46" s="5">
        <f>SUMIF('ЛСР №1'!$B$17:$B$618,B46,'ЛСР №1'!$F$17:$F$618)</f>
        <v>39288.9</v>
      </c>
      <c r="F46" s="140" t="s">
        <v>204</v>
      </c>
      <c r="G46" s="141"/>
      <c r="H46" s="94"/>
      <c r="I46" s="30"/>
      <c r="J46" s="1"/>
    </row>
    <row r="47" spans="1:10" ht="15.75" x14ac:dyDescent="0.25">
      <c r="A47" s="2">
        <v>21</v>
      </c>
      <c r="B47" s="3" t="s">
        <v>486</v>
      </c>
      <c r="C47" s="4" t="s">
        <v>487</v>
      </c>
      <c r="D47" s="2" t="s">
        <v>6</v>
      </c>
      <c r="E47" s="5">
        <f>SUMIF('ЛСР №1'!$B$17:$B$618,B47,'ЛСР №1'!$F$17:$F$618)</f>
        <v>91582.47</v>
      </c>
      <c r="F47" s="14"/>
      <c r="G47" s="5">
        <f>F47*E47</f>
        <v>0</v>
      </c>
      <c r="H47" s="94"/>
      <c r="I47" s="30"/>
      <c r="J47" s="1"/>
    </row>
    <row r="48" spans="1:10" ht="15.75" x14ac:dyDescent="0.25">
      <c r="A48" s="2">
        <v>22</v>
      </c>
      <c r="B48" s="3" t="s">
        <v>477</v>
      </c>
      <c r="C48" s="4" t="s">
        <v>478</v>
      </c>
      <c r="D48" s="2" t="s">
        <v>6</v>
      </c>
      <c r="E48" s="5">
        <f>SUMIF('ЛСР №1'!$B$17:$B$618,B48,'ЛСР №1'!$F$17:$F$618)</f>
        <v>3220.16</v>
      </c>
      <c r="F48" s="14"/>
      <c r="G48" s="5">
        <f>F48*E48</f>
        <v>0</v>
      </c>
      <c r="H48" s="94"/>
      <c r="I48" s="30"/>
      <c r="J48" s="1"/>
    </row>
    <row r="49" spans="1:10" ht="15.75" x14ac:dyDescent="0.25">
      <c r="A49" s="2">
        <v>23</v>
      </c>
      <c r="B49" s="3" t="s">
        <v>479</v>
      </c>
      <c r="C49" s="4" t="s">
        <v>480</v>
      </c>
      <c r="D49" s="2" t="s">
        <v>6</v>
      </c>
      <c r="E49" s="103">
        <f>SUMIF('ЛСР №1'!$B$17:$B$618,B49,'ЛСР №1'!$F$17:$F$618)</f>
        <v>8761.6299999999992</v>
      </c>
      <c r="F49" s="14"/>
      <c r="G49" s="5">
        <f>F49*E49</f>
        <v>0</v>
      </c>
      <c r="H49" s="94"/>
      <c r="I49" s="30"/>
      <c r="J49" s="1"/>
    </row>
    <row r="50" spans="1:10" ht="15.75" x14ac:dyDescent="0.25">
      <c r="A50" s="185" t="s">
        <v>8</v>
      </c>
      <c r="B50" s="185"/>
      <c r="C50" s="185"/>
      <c r="D50" s="185"/>
      <c r="E50" s="185"/>
      <c r="F50" s="185"/>
      <c r="G50" s="5">
        <f>SUM(G17:G25)</f>
        <v>0</v>
      </c>
      <c r="H50" s="94"/>
      <c r="I50" s="30"/>
    </row>
    <row r="51" spans="1:10" ht="15.75" x14ac:dyDescent="0.25">
      <c r="A51" s="185" t="s">
        <v>7</v>
      </c>
      <c r="B51" s="185"/>
      <c r="C51" s="185"/>
      <c r="D51" s="185"/>
      <c r="E51" s="185"/>
      <c r="F51" s="185"/>
      <c r="G51" s="5">
        <f>SUM(G27:G49)</f>
        <v>0</v>
      </c>
      <c r="H51" s="94"/>
      <c r="I51" s="30"/>
    </row>
    <row r="52" spans="1:10" ht="15.75" x14ac:dyDescent="0.25">
      <c r="A52" s="185" t="s">
        <v>37</v>
      </c>
      <c r="B52" s="185"/>
      <c r="C52" s="185"/>
      <c r="D52" s="185"/>
      <c r="E52" s="185"/>
      <c r="F52" s="185"/>
      <c r="G52" s="5">
        <f>IF(E59&lt;20%,SUM(G51)*0.2,0)</f>
        <v>0</v>
      </c>
      <c r="H52" s="94" t="s">
        <v>99</v>
      </c>
      <c r="I52" s="30"/>
    </row>
    <row r="53" spans="1:10" ht="15.75" x14ac:dyDescent="0.25">
      <c r="A53" s="188" t="str">
        <f>IF(E59=0,"Без НДС в связи с применением УСН","НДС " &amp; TEXT(E59,"0%"))</f>
        <v>Без НДС в связи с применением УСН</v>
      </c>
      <c r="B53" s="188"/>
      <c r="C53" s="188"/>
      <c r="D53" s="188"/>
      <c r="E53" s="188"/>
      <c r="F53" s="188"/>
      <c r="G53" s="5">
        <f>SUM(G50:G52)*E59</f>
        <v>0</v>
      </c>
      <c r="H53" s="94" t="s">
        <v>100</v>
      </c>
      <c r="I53" s="30"/>
    </row>
    <row r="54" spans="1:10" ht="18.75" x14ac:dyDescent="0.25">
      <c r="A54" s="186" t="s">
        <v>205</v>
      </c>
      <c r="B54" s="186"/>
      <c r="C54" s="186"/>
      <c r="D54" s="186"/>
      <c r="E54" s="186"/>
      <c r="F54" s="186"/>
      <c r="G54" s="10">
        <f>SUM(G50:G53)</f>
        <v>0</v>
      </c>
      <c r="H54" s="95"/>
      <c r="I54" s="6"/>
    </row>
    <row r="55" spans="1:10" ht="15.75" x14ac:dyDescent="0.25">
      <c r="A55" s="8"/>
      <c r="B55" s="8"/>
      <c r="C55" s="8"/>
      <c r="D55" s="8"/>
      <c r="E55" s="8"/>
      <c r="F55" s="8"/>
      <c r="G55" s="9"/>
      <c r="H55" s="95"/>
      <c r="I55" s="6"/>
    </row>
    <row r="56" spans="1:10" x14ac:dyDescent="0.25">
      <c r="F56" s="83"/>
      <c r="G56" s="83"/>
    </row>
    <row r="57" spans="1:10" x14ac:dyDescent="0.25">
      <c r="F57" s="83"/>
    </row>
    <row r="58" spans="1:10" ht="18.75" x14ac:dyDescent="0.25">
      <c r="A58" s="187" t="s">
        <v>9</v>
      </c>
      <c r="B58" s="187"/>
      <c r="C58" s="187"/>
      <c r="D58" s="187"/>
      <c r="E58" s="187"/>
      <c r="F58" s="187"/>
      <c r="G58" s="187"/>
      <c r="H58" s="85" t="s">
        <v>48</v>
      </c>
      <c r="I58" s="7" t="s">
        <v>5</v>
      </c>
    </row>
    <row r="59" spans="1:10" ht="35.1" customHeight="1" x14ac:dyDescent="0.25">
      <c r="A59" s="16">
        <v>1</v>
      </c>
      <c r="B59" s="182" t="s">
        <v>91</v>
      </c>
      <c r="C59" s="183"/>
      <c r="D59" s="184"/>
      <c r="E59" s="189">
        <v>0</v>
      </c>
      <c r="F59" s="190"/>
      <c r="G59" s="191"/>
      <c r="H59" s="97"/>
      <c r="I59" s="17"/>
    </row>
    <row r="60" spans="1:10" ht="35.25" customHeight="1" x14ac:dyDescent="0.25">
      <c r="A60" s="16">
        <v>2</v>
      </c>
      <c r="B60" s="148" t="s">
        <v>52</v>
      </c>
      <c r="C60" s="149"/>
      <c r="D60" s="150"/>
      <c r="E60" s="144"/>
      <c r="F60" s="145"/>
      <c r="G60" s="146"/>
      <c r="H60" s="98"/>
      <c r="I60" s="18"/>
    </row>
    <row r="61" spans="1:10" ht="35.25" customHeight="1" x14ac:dyDescent="0.25">
      <c r="A61" s="16">
        <v>3</v>
      </c>
      <c r="B61" s="182" t="s">
        <v>53</v>
      </c>
      <c r="C61" s="183"/>
      <c r="D61" s="184"/>
      <c r="E61" s="144"/>
      <c r="F61" s="145"/>
      <c r="G61" s="146"/>
      <c r="H61" s="82"/>
      <c r="I61" s="18"/>
    </row>
    <row r="62" spans="1:10" ht="69.75" customHeight="1" x14ac:dyDescent="0.25">
      <c r="A62" s="16">
        <v>4</v>
      </c>
      <c r="B62" s="143" t="s">
        <v>90</v>
      </c>
      <c r="C62" s="143"/>
      <c r="D62" s="143"/>
      <c r="E62" s="144"/>
      <c r="F62" s="145"/>
      <c r="G62" s="146"/>
      <c r="H62" s="82" t="s">
        <v>58</v>
      </c>
      <c r="I62" s="18"/>
    </row>
    <row r="63" spans="1:10" ht="80.099999999999994" customHeight="1" x14ac:dyDescent="0.25">
      <c r="A63" s="164">
        <v>5</v>
      </c>
      <c r="B63" s="151" t="s">
        <v>101</v>
      </c>
      <c r="C63" s="152"/>
      <c r="D63" s="152"/>
      <c r="E63" s="144"/>
      <c r="F63" s="145"/>
      <c r="G63" s="146"/>
      <c r="H63" s="156" t="s">
        <v>49</v>
      </c>
      <c r="I63" s="18"/>
    </row>
    <row r="64" spans="1:10" ht="80.099999999999994" customHeight="1" x14ac:dyDescent="0.25">
      <c r="A64" s="164"/>
      <c r="B64" s="152"/>
      <c r="C64" s="152"/>
      <c r="D64" s="152"/>
      <c r="E64" s="144"/>
      <c r="F64" s="145"/>
      <c r="G64" s="146"/>
      <c r="H64" s="157"/>
      <c r="I64" s="18"/>
    </row>
    <row r="65" spans="1:9" ht="80.099999999999994" customHeight="1" x14ac:dyDescent="0.25">
      <c r="A65" s="164"/>
      <c r="B65" s="152"/>
      <c r="C65" s="152"/>
      <c r="D65" s="152"/>
      <c r="E65" s="144"/>
      <c r="F65" s="145"/>
      <c r="G65" s="146"/>
      <c r="H65" s="157"/>
      <c r="I65" s="18"/>
    </row>
    <row r="66" spans="1:9" ht="80.099999999999994" customHeight="1" x14ac:dyDescent="0.25">
      <c r="A66" s="164"/>
      <c r="B66" s="152"/>
      <c r="C66" s="152"/>
      <c r="D66" s="152"/>
      <c r="E66" s="144"/>
      <c r="F66" s="145"/>
      <c r="G66" s="146"/>
      <c r="H66" s="157"/>
      <c r="I66" s="18"/>
    </row>
    <row r="67" spans="1:9" ht="80.099999999999994" customHeight="1" x14ac:dyDescent="0.25">
      <c r="A67" s="164"/>
      <c r="B67" s="152"/>
      <c r="C67" s="152"/>
      <c r="D67" s="152"/>
      <c r="E67" s="144"/>
      <c r="F67" s="145"/>
      <c r="G67" s="146"/>
      <c r="H67" s="158"/>
      <c r="I67" s="18"/>
    </row>
    <row r="68" spans="1:9" ht="39" customHeight="1" x14ac:dyDescent="0.25">
      <c r="A68" s="16">
        <v>6</v>
      </c>
      <c r="B68" s="170" t="s">
        <v>89</v>
      </c>
      <c r="C68" s="171"/>
      <c r="D68" s="171"/>
      <c r="E68" s="144"/>
      <c r="F68" s="145"/>
      <c r="G68" s="146"/>
      <c r="H68" s="99" t="s">
        <v>50</v>
      </c>
      <c r="I68" s="18"/>
    </row>
    <row r="69" spans="1:9" ht="79.5" customHeight="1" x14ac:dyDescent="0.25">
      <c r="A69" s="16">
        <v>7</v>
      </c>
      <c r="B69" s="165" t="s">
        <v>54</v>
      </c>
      <c r="C69" s="166"/>
      <c r="D69" s="166"/>
      <c r="E69" s="144"/>
      <c r="F69" s="145"/>
      <c r="G69" s="146"/>
      <c r="H69" s="98"/>
      <c r="I69" s="18"/>
    </row>
    <row r="70" spans="1:9" ht="35.1" customHeight="1" x14ac:dyDescent="0.25">
      <c r="A70" s="19">
        <v>8</v>
      </c>
      <c r="B70" s="167" t="s">
        <v>88</v>
      </c>
      <c r="C70" s="166"/>
      <c r="D70" s="166"/>
      <c r="E70" s="153" t="s">
        <v>87</v>
      </c>
      <c r="F70" s="168"/>
      <c r="G70" s="169"/>
      <c r="H70" s="98"/>
      <c r="I70" s="18"/>
    </row>
    <row r="71" spans="1:9" ht="35.1" customHeight="1" x14ac:dyDescent="0.25">
      <c r="A71" s="19">
        <v>9</v>
      </c>
      <c r="B71" s="143" t="s">
        <v>86</v>
      </c>
      <c r="C71" s="143"/>
      <c r="D71" s="143"/>
      <c r="E71" s="144"/>
      <c r="F71" s="145"/>
      <c r="G71" s="146"/>
      <c r="H71" s="100" t="s">
        <v>55</v>
      </c>
      <c r="I71" s="18"/>
    </row>
    <row r="72" spans="1:9" ht="35.1" customHeight="1" x14ac:dyDescent="0.25">
      <c r="A72" s="19">
        <v>10</v>
      </c>
      <c r="B72" s="147" t="s">
        <v>85</v>
      </c>
      <c r="C72" s="143"/>
      <c r="D72" s="143"/>
      <c r="E72" s="144"/>
      <c r="F72" s="145"/>
      <c r="G72" s="146"/>
      <c r="H72" s="98" t="s">
        <v>57</v>
      </c>
      <c r="I72" s="18"/>
    </row>
    <row r="73" spans="1:9" ht="35.1" customHeight="1" x14ac:dyDescent="0.25">
      <c r="A73" s="19">
        <v>11</v>
      </c>
      <c r="B73" s="147" t="s">
        <v>79</v>
      </c>
      <c r="C73" s="143"/>
      <c r="D73" s="143"/>
      <c r="E73" s="153" t="str">
        <f>C12</f>
        <v>DP-0624-089 - АР(1-7)</v>
      </c>
      <c r="F73" s="154"/>
      <c r="G73" s="155"/>
      <c r="H73" s="98"/>
      <c r="I73" s="18"/>
    </row>
    <row r="74" spans="1:9" ht="35.1" customHeight="1" x14ac:dyDescent="0.25">
      <c r="A74" s="19">
        <v>12</v>
      </c>
      <c r="B74" s="147" t="s">
        <v>64</v>
      </c>
      <c r="C74" s="143"/>
      <c r="D74" s="143"/>
      <c r="E74" s="153" t="s">
        <v>84</v>
      </c>
      <c r="F74" s="154"/>
      <c r="G74" s="155"/>
      <c r="H74" s="98"/>
      <c r="I74" s="18"/>
    </row>
    <row r="75" spans="1:9" ht="35.1" customHeight="1" x14ac:dyDescent="0.25">
      <c r="A75" s="19">
        <v>13</v>
      </c>
      <c r="B75" s="143" t="s">
        <v>80</v>
      </c>
      <c r="C75" s="143"/>
      <c r="D75" s="143"/>
      <c r="E75" s="144"/>
      <c r="F75" s="145"/>
      <c r="G75" s="146"/>
      <c r="H75" s="98" t="s">
        <v>50</v>
      </c>
      <c r="I75" s="18"/>
    </row>
    <row r="76" spans="1:9" ht="35.1" customHeight="1" x14ac:dyDescent="0.25">
      <c r="A76" s="19">
        <v>14</v>
      </c>
      <c r="B76" s="143" t="s">
        <v>81</v>
      </c>
      <c r="C76" s="143"/>
      <c r="D76" s="143"/>
      <c r="E76" s="144"/>
      <c r="F76" s="145"/>
      <c r="G76" s="146"/>
      <c r="H76" s="98" t="s">
        <v>56</v>
      </c>
      <c r="I76" s="18"/>
    </row>
    <row r="77" spans="1:9" ht="35.1" customHeight="1" x14ac:dyDescent="0.25">
      <c r="A77" s="19">
        <v>15</v>
      </c>
      <c r="B77" s="143" t="s">
        <v>82</v>
      </c>
      <c r="C77" s="143"/>
      <c r="D77" s="143"/>
      <c r="E77" s="144"/>
      <c r="F77" s="145"/>
      <c r="G77" s="146"/>
      <c r="H77" s="98"/>
      <c r="I77" s="18"/>
    </row>
    <row r="78" spans="1:9" ht="35.1" customHeight="1" x14ac:dyDescent="0.25">
      <c r="A78" s="19">
        <v>16</v>
      </c>
      <c r="B78" s="143" t="s">
        <v>83</v>
      </c>
      <c r="C78" s="143"/>
      <c r="D78" s="143"/>
      <c r="E78" s="144"/>
      <c r="F78" s="145"/>
      <c r="G78" s="146"/>
      <c r="H78" s="98"/>
      <c r="I78" s="18"/>
    </row>
    <row r="80" spans="1:9" x14ac:dyDescent="0.25">
      <c r="A80" s="20"/>
      <c r="B80" s="20"/>
      <c r="C80" s="20"/>
      <c r="D80" s="20"/>
      <c r="E80" s="20"/>
      <c r="F80" s="20"/>
      <c r="G80" s="20"/>
      <c r="H80" s="101"/>
      <c r="I80" s="20"/>
    </row>
    <row r="81" spans="1:16" x14ac:dyDescent="0.25">
      <c r="A81" s="20"/>
      <c r="B81" s="20"/>
      <c r="C81" s="20"/>
      <c r="D81" s="20"/>
      <c r="E81" s="20"/>
      <c r="F81" s="20"/>
      <c r="G81" s="20"/>
      <c r="H81" s="101"/>
      <c r="I81" s="20"/>
    </row>
    <row r="82" spans="1:16" x14ac:dyDescent="0.25">
      <c r="A82" s="20"/>
      <c r="B82" s="20"/>
      <c r="C82" s="20"/>
      <c r="D82" s="20"/>
      <c r="E82" s="20"/>
      <c r="F82" s="20"/>
      <c r="G82" s="20"/>
      <c r="H82" s="101"/>
      <c r="I82" s="20"/>
    </row>
    <row r="83" spans="1:16" x14ac:dyDescent="0.25">
      <c r="A83" s="20"/>
      <c r="B83" s="20"/>
      <c r="C83" s="20"/>
      <c r="D83" s="20"/>
      <c r="E83" s="20"/>
      <c r="F83" s="20"/>
      <c r="G83" s="20"/>
      <c r="H83" s="101"/>
      <c r="I83" s="20"/>
    </row>
    <row r="84" spans="1:16" x14ac:dyDescent="0.25">
      <c r="A84" s="20"/>
      <c r="B84" s="20"/>
      <c r="C84" s="20"/>
      <c r="D84" s="20"/>
      <c r="E84" s="20"/>
      <c r="F84" s="20"/>
      <c r="G84" s="20"/>
      <c r="H84" s="101"/>
      <c r="I84" s="20"/>
      <c r="J84" s="20"/>
      <c r="K84" s="20"/>
      <c r="L84" s="20"/>
      <c r="M84" s="20"/>
      <c r="N84" s="20"/>
      <c r="O84" s="20"/>
      <c r="P84" s="20"/>
    </row>
    <row r="85" spans="1:16" ht="18.75" customHeight="1" x14ac:dyDescent="0.25">
      <c r="A85" s="161" t="s">
        <v>59</v>
      </c>
      <c r="B85" s="161"/>
      <c r="C85" s="161"/>
      <c r="D85" s="160"/>
      <c r="E85" s="160"/>
      <c r="F85" s="162" t="s">
        <v>60</v>
      </c>
      <c r="G85" s="163"/>
      <c r="H85" s="101"/>
      <c r="I85" s="20"/>
      <c r="J85" s="20"/>
      <c r="K85" s="20"/>
      <c r="L85" s="20"/>
      <c r="M85" s="20"/>
      <c r="N85" s="20"/>
      <c r="O85" s="20"/>
      <c r="P85" s="20"/>
    </row>
    <row r="86" spans="1:16" ht="18.75" x14ac:dyDescent="0.3">
      <c r="A86" s="22"/>
      <c r="B86" s="22"/>
      <c r="C86" s="22"/>
      <c r="D86" s="159" t="s">
        <v>62</v>
      </c>
      <c r="E86" s="159"/>
      <c r="F86" s="159" t="s">
        <v>63</v>
      </c>
      <c r="G86" s="159"/>
      <c r="H86" s="101"/>
      <c r="I86" s="20"/>
      <c r="J86" s="20"/>
      <c r="K86" s="20"/>
      <c r="L86" s="20"/>
      <c r="M86" s="20"/>
      <c r="N86" s="20"/>
      <c r="O86" s="20"/>
      <c r="P86" s="20"/>
    </row>
    <row r="87" spans="1:16" ht="18.75" x14ac:dyDescent="0.3">
      <c r="A87" s="22"/>
      <c r="B87" s="22"/>
      <c r="C87" s="22"/>
      <c r="D87" s="22"/>
      <c r="E87" s="24"/>
      <c r="F87" s="23" t="s">
        <v>61</v>
      </c>
      <c r="G87" s="22"/>
      <c r="H87" s="101"/>
      <c r="I87" s="20"/>
      <c r="J87" s="20"/>
      <c r="K87" s="20"/>
      <c r="L87" s="20"/>
      <c r="M87" s="20"/>
      <c r="N87" s="20"/>
      <c r="O87" s="20"/>
      <c r="P87" s="20"/>
    </row>
    <row r="88" spans="1:16" ht="18.75" x14ac:dyDescent="0.3">
      <c r="A88" s="22"/>
      <c r="B88" s="22"/>
      <c r="C88" s="22"/>
      <c r="D88" s="22"/>
      <c r="E88" s="22"/>
      <c r="F88" s="22"/>
      <c r="G88" s="22"/>
      <c r="H88" s="101"/>
      <c r="I88" s="20"/>
      <c r="J88" s="20"/>
      <c r="K88" s="20"/>
      <c r="L88" s="20"/>
      <c r="M88" s="20"/>
      <c r="N88" s="20"/>
      <c r="O88" s="20"/>
      <c r="P88" s="20"/>
    </row>
    <row r="89" spans="1:16" x14ac:dyDescent="0.25">
      <c r="A89" s="20"/>
      <c r="B89" s="20"/>
      <c r="C89" s="20"/>
      <c r="D89" s="20"/>
      <c r="E89" s="20"/>
      <c r="F89" s="20"/>
      <c r="G89" s="20"/>
      <c r="H89" s="101"/>
      <c r="I89" s="20"/>
      <c r="J89" s="20"/>
      <c r="K89" s="20"/>
      <c r="L89" s="20"/>
      <c r="M89" s="20"/>
      <c r="N89" s="20"/>
      <c r="O89" s="20"/>
      <c r="P89" s="20"/>
    </row>
    <row r="90" spans="1:16" x14ac:dyDescent="0.25">
      <c r="A90" s="20"/>
      <c r="B90" s="20"/>
      <c r="C90" s="20"/>
      <c r="D90" s="20"/>
      <c r="E90" s="20"/>
      <c r="F90" s="21"/>
      <c r="G90" s="21"/>
      <c r="H90" s="102"/>
      <c r="I90" s="21"/>
      <c r="J90" s="21"/>
      <c r="K90" s="21"/>
      <c r="L90" s="21"/>
      <c r="M90" s="21"/>
      <c r="N90" s="20"/>
      <c r="O90" s="20"/>
      <c r="P90" s="20"/>
    </row>
    <row r="91" spans="1:16" x14ac:dyDescent="0.25">
      <c r="C91" s="20"/>
      <c r="D91" s="20"/>
      <c r="E91" s="20"/>
      <c r="F91" s="20"/>
      <c r="G91" s="20"/>
      <c r="H91" s="101"/>
      <c r="I91" s="20"/>
      <c r="J91" s="20"/>
      <c r="K91" s="20"/>
      <c r="L91" s="20"/>
      <c r="M91" s="20"/>
      <c r="N91" s="20"/>
      <c r="O91" s="20"/>
      <c r="P91" s="20"/>
    </row>
    <row r="92" spans="1:16" x14ac:dyDescent="0.25">
      <c r="C92" s="20"/>
      <c r="D92" s="20"/>
      <c r="E92" s="20"/>
      <c r="F92" s="20"/>
      <c r="G92" s="20"/>
      <c r="H92" s="101"/>
      <c r="I92" s="20"/>
      <c r="J92" s="20"/>
      <c r="K92" s="20"/>
      <c r="L92" s="20"/>
      <c r="M92" s="20"/>
      <c r="N92" s="20"/>
      <c r="O92" s="20"/>
      <c r="P92" s="20"/>
    </row>
    <row r="93" spans="1:16" x14ac:dyDescent="0.25">
      <c r="C93" s="20"/>
      <c r="D93" s="20"/>
      <c r="E93" s="20"/>
      <c r="F93" s="20"/>
      <c r="G93" s="20"/>
      <c r="H93" s="101"/>
      <c r="I93" s="20"/>
      <c r="J93" s="20"/>
      <c r="K93" s="20"/>
      <c r="L93" s="20"/>
      <c r="M93" s="20"/>
      <c r="N93" s="20"/>
      <c r="O93" s="20"/>
      <c r="P93" s="20"/>
    </row>
    <row r="94" spans="1:16" x14ac:dyDescent="0.25">
      <c r="C94" s="20"/>
      <c r="D94" s="20"/>
      <c r="E94" s="20"/>
      <c r="F94" s="20"/>
      <c r="G94" s="20"/>
      <c r="H94" s="101"/>
      <c r="I94" s="20"/>
      <c r="J94" s="20"/>
      <c r="K94" s="20"/>
      <c r="L94" s="20"/>
      <c r="M94" s="20"/>
      <c r="N94" s="20"/>
      <c r="O94" s="20"/>
      <c r="P94" s="20"/>
    </row>
    <row r="95" spans="1:16" x14ac:dyDescent="0.25">
      <c r="C95" s="20"/>
      <c r="D95" s="20"/>
      <c r="E95" s="20"/>
      <c r="F95" s="20"/>
      <c r="G95" s="20"/>
      <c r="H95" s="101"/>
      <c r="I95" s="20"/>
      <c r="J95" s="20"/>
      <c r="K95" s="20"/>
      <c r="L95" s="20"/>
      <c r="M95" s="20"/>
      <c r="N95" s="20"/>
      <c r="O95" s="20"/>
      <c r="P95" s="20"/>
    </row>
  </sheetData>
  <sheetProtection algorithmName="SHA-512" hashValue="qL2B5gUqyWNdLUgotE9M3Yr/Jb6Fkckx6deQ+/WaTiOsjHWJKxNm/ygHSDQt4OzHWjdRn81ZYUknb2P3UfNslA==" saltValue="qmeGzmnrXFGUNIasNEVqNg==" spinCount="100000" sheet="1" objects="1" scenarios="1"/>
  <protectedRanges>
    <protectedRange sqref="D3:G3 C8:G8 A85:G85 E71:G72 E75:G78 I59:I78 I3:I25 I27:I53 F17:F25 F47:F49 F37 F32:F33 E59:G69" name="Диапазон1"/>
  </protectedRanges>
  <sortState ref="A27:I49">
    <sortCondition ref="C27:C49"/>
  </sortState>
  <mergeCells count="89">
    <mergeCell ref="C13:G13"/>
    <mergeCell ref="A12:B12"/>
    <mergeCell ref="B61:D61"/>
    <mergeCell ref="A51:F51"/>
    <mergeCell ref="A54:F54"/>
    <mergeCell ref="A13:B13"/>
    <mergeCell ref="C12:G12"/>
    <mergeCell ref="E61:G61"/>
    <mergeCell ref="A58:G58"/>
    <mergeCell ref="A53:F53"/>
    <mergeCell ref="B59:D59"/>
    <mergeCell ref="A50:F50"/>
    <mergeCell ref="A52:F52"/>
    <mergeCell ref="E59:G59"/>
    <mergeCell ref="E60:G60"/>
    <mergeCell ref="F41:G41"/>
    <mergeCell ref="A1:G1"/>
    <mergeCell ref="A2:G2"/>
    <mergeCell ref="A4:G4"/>
    <mergeCell ref="A5:G5"/>
    <mergeCell ref="A3:C3"/>
    <mergeCell ref="D3:G3"/>
    <mergeCell ref="A11:B11"/>
    <mergeCell ref="C11:G11"/>
    <mergeCell ref="C6:G6"/>
    <mergeCell ref="C8:G8"/>
    <mergeCell ref="A9:B9"/>
    <mergeCell ref="A10:B10"/>
    <mergeCell ref="A7:B7"/>
    <mergeCell ref="C7:G7"/>
    <mergeCell ref="C9:G9"/>
    <mergeCell ref="C10:G10"/>
    <mergeCell ref="A8:B8"/>
    <mergeCell ref="A6:B6"/>
    <mergeCell ref="E78:G78"/>
    <mergeCell ref="B72:D72"/>
    <mergeCell ref="B74:D74"/>
    <mergeCell ref="B75:D75"/>
    <mergeCell ref="B78:D78"/>
    <mergeCell ref="B77:D77"/>
    <mergeCell ref="E74:G74"/>
    <mergeCell ref="E75:G75"/>
    <mergeCell ref="E77:G77"/>
    <mergeCell ref="B76:D76"/>
    <mergeCell ref="E76:G76"/>
    <mergeCell ref="H63:H67"/>
    <mergeCell ref="F86:G86"/>
    <mergeCell ref="D85:E85"/>
    <mergeCell ref="D86:E86"/>
    <mergeCell ref="A85:C85"/>
    <mergeCell ref="F85:G85"/>
    <mergeCell ref="A63:A67"/>
    <mergeCell ref="B71:D71"/>
    <mergeCell ref="B69:D69"/>
    <mergeCell ref="E69:G69"/>
    <mergeCell ref="B70:D70"/>
    <mergeCell ref="E70:G70"/>
    <mergeCell ref="E66:G66"/>
    <mergeCell ref="E67:G67"/>
    <mergeCell ref="B68:D68"/>
    <mergeCell ref="E68:G68"/>
    <mergeCell ref="A14:G14"/>
    <mergeCell ref="B62:D62"/>
    <mergeCell ref="E63:G63"/>
    <mergeCell ref="B73:D73"/>
    <mergeCell ref="E65:G65"/>
    <mergeCell ref="E71:G71"/>
    <mergeCell ref="E62:G62"/>
    <mergeCell ref="B60:D60"/>
    <mergeCell ref="B63:D67"/>
    <mergeCell ref="E64:G64"/>
    <mergeCell ref="F28:G28"/>
    <mergeCell ref="F31:G31"/>
    <mergeCell ref="F38:G38"/>
    <mergeCell ref="F34:G34"/>
    <mergeCell ref="E72:G72"/>
    <mergeCell ref="E73:G73"/>
    <mergeCell ref="F43:G43"/>
    <mergeCell ref="F45:G45"/>
    <mergeCell ref="F46:G46"/>
    <mergeCell ref="F27:G27"/>
    <mergeCell ref="F29:G29"/>
    <mergeCell ref="F35:G35"/>
    <mergeCell ref="F36:G36"/>
    <mergeCell ref="F44:G44"/>
    <mergeCell ref="F30:G30"/>
    <mergeCell ref="F39:G39"/>
    <mergeCell ref="F40:G40"/>
    <mergeCell ref="F42:G42"/>
  </mergeCells>
  <conditionalFormatting sqref="C8">
    <cfRule type="cellIs" dxfId="18" priority="319" operator="greaterThan">
      <formula>0</formula>
    </cfRule>
    <cfRule type="cellIs" dxfId="17" priority="320" operator="greaterThan">
      <formula>0</formula>
    </cfRule>
  </conditionalFormatting>
  <conditionalFormatting sqref="F17 F19 F21 F25">
    <cfRule type="cellIs" dxfId="16" priority="317" operator="greaterThan">
      <formula>0</formula>
    </cfRule>
    <cfRule type="cellIs" priority="318" operator="greaterThan">
      <formula>0</formula>
    </cfRule>
  </conditionalFormatting>
  <conditionalFormatting sqref="F18 F20 F22:F24">
    <cfRule type="cellIs" dxfId="15" priority="305" operator="greaterThan">
      <formula>0</formula>
    </cfRule>
    <cfRule type="cellIs" priority="306" operator="greaterThan">
      <formula>0</formula>
    </cfRule>
  </conditionalFormatting>
  <conditionalFormatting sqref="E77">
    <cfRule type="cellIs" dxfId="14" priority="243" operator="greaterThan">
      <formula>0</formula>
    </cfRule>
    <cfRule type="cellIs" priority="244" operator="greaterThan">
      <formula>0</formula>
    </cfRule>
  </conditionalFormatting>
  <conditionalFormatting sqref="E78">
    <cfRule type="cellIs" dxfId="13" priority="241" operator="greaterThan">
      <formula>0</formula>
    </cfRule>
    <cfRule type="cellIs" priority="242" operator="greaterThan">
      <formula>0</formula>
    </cfRule>
  </conditionalFormatting>
  <conditionalFormatting sqref="E60:E61">
    <cfRule type="cellIs" dxfId="12" priority="235" operator="greaterThan">
      <formula>0</formula>
    </cfRule>
    <cfRule type="cellIs" priority="236" operator="greaterThan">
      <formula>0</formula>
    </cfRule>
  </conditionalFormatting>
  <conditionalFormatting sqref="E62:E69">
    <cfRule type="cellIs" dxfId="11" priority="233" operator="greaterThan">
      <formula>0</formula>
    </cfRule>
    <cfRule type="cellIs" priority="234" operator="greaterThan">
      <formula>0</formula>
    </cfRule>
  </conditionalFormatting>
  <conditionalFormatting sqref="E71:E72">
    <cfRule type="cellIs" dxfId="10" priority="227" operator="greaterThan">
      <formula>0</formula>
    </cfRule>
    <cfRule type="cellIs" priority="228" operator="greaterThan">
      <formula>0</formula>
    </cfRule>
  </conditionalFormatting>
  <conditionalFormatting sqref="E75">
    <cfRule type="cellIs" dxfId="9" priority="225" operator="greaterThan">
      <formula>0</formula>
    </cfRule>
    <cfRule type="cellIs" priority="226" operator="greaterThan">
      <formula>0</formula>
    </cfRule>
  </conditionalFormatting>
  <conditionalFormatting sqref="E76">
    <cfRule type="cellIs" dxfId="8" priority="223" operator="greaterThan">
      <formula>0</formula>
    </cfRule>
    <cfRule type="cellIs" priority="224" operator="greaterThan">
      <formula>0</formula>
    </cfRule>
  </conditionalFormatting>
  <conditionalFormatting sqref="E59:G59">
    <cfRule type="cellIs" dxfId="7" priority="42" operator="greaterThan">
      <formula>0</formula>
    </cfRule>
  </conditionalFormatting>
  <conditionalFormatting sqref="D3:G3">
    <cfRule type="cellIs" dxfId="6" priority="39" operator="greaterThan">
      <formula>0</formula>
    </cfRule>
  </conditionalFormatting>
  <conditionalFormatting sqref="F32">
    <cfRule type="cellIs" dxfId="5" priority="13" operator="greaterThan">
      <formula>0</formula>
    </cfRule>
    <cfRule type="cellIs" priority="14" operator="greaterThan">
      <formula>0</formula>
    </cfRule>
  </conditionalFormatting>
  <conditionalFormatting sqref="F33">
    <cfRule type="cellIs" dxfId="4" priority="11" operator="greaterThan">
      <formula>0</formula>
    </cfRule>
    <cfRule type="cellIs" priority="12" operator="greaterThan">
      <formula>0</formula>
    </cfRule>
  </conditionalFormatting>
  <conditionalFormatting sqref="F48">
    <cfRule type="cellIs" dxfId="3" priority="9" operator="greaterThan">
      <formula>0</formula>
    </cfRule>
    <cfRule type="cellIs" priority="10" operator="greaterThan">
      <formula>0</formula>
    </cfRule>
  </conditionalFormatting>
  <conditionalFormatting sqref="F49">
    <cfRule type="cellIs" dxfId="2" priority="7" operator="greaterThan">
      <formula>0</formula>
    </cfRule>
    <cfRule type="cellIs" priority="8" operator="greaterThan">
      <formula>0</formula>
    </cfRule>
  </conditionalFormatting>
  <conditionalFormatting sqref="F47">
    <cfRule type="cellIs" dxfId="1" priority="5" operator="greaterThan">
      <formula>0</formula>
    </cfRule>
    <cfRule type="cellIs" priority="6" operator="greaterThan">
      <formula>0</formula>
    </cfRule>
  </conditionalFormatting>
  <conditionalFormatting sqref="F37">
    <cfRule type="cellIs" dxfId="0" priority="3" operator="greaterThan">
      <formula>0</formula>
    </cfRule>
    <cfRule type="cellIs" priority="4" operator="greaterThan">
      <formula>0</formula>
    </cfRule>
  </conditionalFormatting>
  <pageMargins left="0.7" right="0.7" top="0.75" bottom="0.75" header="0.3" footer="0.3"/>
  <pageSetup paperSize="9" scale="49" fitToHeight="0" orientation="landscape" r:id="rId1"/>
  <rowBreaks count="3" manualBreakCount="3">
    <brk id="21" max="6" man="1"/>
    <brk id="54" max="6" man="1"/>
    <brk id="8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F5809-D0F0-44BE-A3E5-F19B4870493A}">
  <sheetPr>
    <tabColor theme="4" tint="0.79998168889431442"/>
  </sheetPr>
  <dimension ref="A1:S624"/>
  <sheetViews>
    <sheetView workbookViewId="0">
      <selection activeCell="B8" sqref="B8"/>
    </sheetView>
  </sheetViews>
  <sheetFormatPr defaultColWidth="8.85546875" defaultRowHeight="15" x14ac:dyDescent="0.25"/>
  <cols>
    <col min="1" max="1" width="8.85546875" style="11"/>
    <col min="2" max="2" width="19.28515625" style="11" bestFit="1" customWidth="1"/>
    <col min="3" max="3" width="43.5703125" style="11" customWidth="1"/>
    <col min="4" max="4" width="11.140625" style="87" customWidth="1"/>
    <col min="5" max="6" width="11.140625" style="11" customWidth="1"/>
    <col min="7" max="13" width="11.140625" style="11" hidden="1" customWidth="1"/>
    <col min="14" max="15" width="11.85546875" style="11" hidden="1" customWidth="1"/>
    <col min="16" max="17" width="13.85546875" style="11" hidden="1" customWidth="1"/>
    <col min="18" max="19" width="15.7109375" style="11" customWidth="1"/>
    <col min="20" max="20" width="12.42578125" style="11" bestFit="1" customWidth="1"/>
    <col min="21" max="16384" width="8.85546875" style="11"/>
  </cols>
  <sheetData>
    <row r="1" spans="1:19" x14ac:dyDescent="0.25">
      <c r="A1" s="27"/>
      <c r="F1" s="44"/>
      <c r="G1" s="44"/>
      <c r="H1" s="44"/>
      <c r="I1" s="44"/>
      <c r="J1" s="44"/>
      <c r="K1" s="44"/>
      <c r="L1" s="44"/>
      <c r="M1" s="44"/>
    </row>
    <row r="2" spans="1:19" ht="15.75" x14ac:dyDescent="0.25">
      <c r="A2" s="197" t="s">
        <v>35</v>
      </c>
      <c r="B2" s="197"/>
      <c r="F2" s="45" t="s">
        <v>30</v>
      </c>
      <c r="G2" s="45"/>
      <c r="H2" s="45"/>
      <c r="I2" s="45"/>
      <c r="J2" s="45"/>
      <c r="K2" s="45"/>
      <c r="L2" s="45"/>
      <c r="M2" s="45"/>
    </row>
    <row r="3" spans="1:19" ht="15.75" x14ac:dyDescent="0.25">
      <c r="A3" s="198" t="s">
        <v>36</v>
      </c>
      <c r="B3" s="198"/>
      <c r="F3" s="46" t="s">
        <v>31</v>
      </c>
      <c r="G3" s="46"/>
      <c r="H3" s="46"/>
      <c r="I3" s="46"/>
      <c r="J3" s="46"/>
      <c r="K3" s="46"/>
      <c r="L3" s="46"/>
      <c r="M3" s="46"/>
    </row>
    <row r="4" spans="1:19" ht="15.75" x14ac:dyDescent="0.25">
      <c r="A4" s="198" t="s">
        <v>33</v>
      </c>
      <c r="B4" s="198"/>
      <c r="F4" s="46" t="s">
        <v>97</v>
      </c>
      <c r="G4" s="46"/>
      <c r="H4" s="46"/>
      <c r="I4" s="46"/>
      <c r="J4" s="46"/>
      <c r="K4" s="46"/>
      <c r="L4" s="46"/>
      <c r="M4" s="46"/>
    </row>
    <row r="5" spans="1:19" ht="15.75" x14ac:dyDescent="0.25">
      <c r="A5" s="199"/>
      <c r="B5" s="199"/>
      <c r="F5" s="47"/>
      <c r="G5" s="47"/>
      <c r="H5" s="47"/>
      <c r="I5" s="47"/>
      <c r="J5" s="47"/>
      <c r="K5" s="47"/>
      <c r="L5" s="47"/>
      <c r="M5" s="47"/>
    </row>
    <row r="6" spans="1:19" ht="15.75" x14ac:dyDescent="0.25">
      <c r="A6" s="28" t="s">
        <v>34</v>
      </c>
      <c r="B6" s="15"/>
      <c r="F6" s="48" t="s">
        <v>98</v>
      </c>
      <c r="G6" s="48"/>
      <c r="H6" s="48"/>
      <c r="I6" s="48"/>
      <c r="J6" s="48"/>
      <c r="K6" s="48"/>
      <c r="L6" s="48"/>
      <c r="M6" s="48"/>
    </row>
    <row r="7" spans="1:19" ht="15.75" x14ac:dyDescent="0.25">
      <c r="A7" s="28" t="s">
        <v>32</v>
      </c>
      <c r="B7" s="15"/>
      <c r="F7" s="48" t="s">
        <v>32</v>
      </c>
      <c r="G7" s="48"/>
      <c r="H7" s="48"/>
      <c r="I7" s="48"/>
      <c r="J7" s="48"/>
      <c r="K7" s="48"/>
      <c r="L7" s="48"/>
      <c r="M7" s="48"/>
    </row>
    <row r="8" spans="1:19" x14ac:dyDescent="0.25">
      <c r="A8" s="27"/>
      <c r="F8" s="44"/>
      <c r="G8" s="44"/>
      <c r="H8" s="44"/>
      <c r="I8" s="44"/>
      <c r="J8" s="44"/>
      <c r="K8" s="44"/>
      <c r="L8" s="44"/>
      <c r="M8" s="44"/>
    </row>
    <row r="9" spans="1:19" x14ac:dyDescent="0.25">
      <c r="A9" s="27"/>
      <c r="F9" s="44"/>
      <c r="G9" s="44"/>
      <c r="H9" s="44"/>
      <c r="I9" s="44"/>
      <c r="J9" s="44"/>
      <c r="K9" s="44"/>
      <c r="L9" s="44"/>
      <c r="M9" s="44"/>
    </row>
    <row r="10" spans="1:19" ht="15.75" x14ac:dyDescent="0.25">
      <c r="A10" s="200" t="s">
        <v>19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</row>
    <row r="11" spans="1:19" x14ac:dyDescent="0.25">
      <c r="A11" s="195" t="s">
        <v>473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</row>
    <row r="12" spans="1:19" x14ac:dyDescent="0.25">
      <c r="A12" s="196" t="s">
        <v>20</v>
      </c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</row>
    <row r="13" spans="1:19" x14ac:dyDescent="0.25">
      <c r="A13" s="27"/>
      <c r="F13" s="44"/>
      <c r="G13" s="44"/>
      <c r="H13" s="44"/>
      <c r="I13" s="44"/>
      <c r="J13" s="44"/>
      <c r="K13" s="44"/>
      <c r="L13" s="44"/>
      <c r="M13" s="44"/>
    </row>
    <row r="14" spans="1:19" ht="32.25" customHeight="1" x14ac:dyDescent="0.25">
      <c r="A14" s="212" t="s">
        <v>11</v>
      </c>
      <c r="B14" s="210" t="s">
        <v>12</v>
      </c>
      <c r="C14" s="214" t="s">
        <v>13</v>
      </c>
      <c r="D14" s="201" t="s">
        <v>468</v>
      </c>
      <c r="E14" s="210" t="s">
        <v>14</v>
      </c>
      <c r="F14" s="216" t="s">
        <v>15</v>
      </c>
      <c r="G14" s="192" t="s">
        <v>215</v>
      </c>
      <c r="H14" s="192" t="s">
        <v>216</v>
      </c>
      <c r="I14" s="192" t="s">
        <v>217</v>
      </c>
      <c r="J14" s="192" t="s">
        <v>218</v>
      </c>
      <c r="K14" s="192" t="s">
        <v>219</v>
      </c>
      <c r="L14" s="192" t="s">
        <v>220</v>
      </c>
      <c r="M14" s="192" t="s">
        <v>221</v>
      </c>
      <c r="N14" s="207" t="s">
        <v>23</v>
      </c>
      <c r="O14" s="208"/>
      <c r="P14" s="208"/>
      <c r="Q14" s="209"/>
      <c r="R14" s="207" t="s">
        <v>16</v>
      </c>
      <c r="S14" s="209"/>
    </row>
    <row r="15" spans="1:19" x14ac:dyDescent="0.25">
      <c r="A15" s="213"/>
      <c r="B15" s="211"/>
      <c r="C15" s="215"/>
      <c r="D15" s="202"/>
      <c r="E15" s="211"/>
      <c r="F15" s="217"/>
      <c r="G15" s="193"/>
      <c r="H15" s="193"/>
      <c r="I15" s="193"/>
      <c r="J15" s="193"/>
      <c r="K15" s="193"/>
      <c r="L15" s="193"/>
      <c r="M15" s="193"/>
      <c r="N15" s="210" t="s">
        <v>26</v>
      </c>
      <c r="O15" s="210" t="s">
        <v>27</v>
      </c>
      <c r="P15" s="210" t="s">
        <v>28</v>
      </c>
      <c r="Q15" s="210" t="s">
        <v>29</v>
      </c>
      <c r="R15" s="210" t="s">
        <v>17</v>
      </c>
      <c r="S15" s="210" t="s">
        <v>18</v>
      </c>
    </row>
    <row r="16" spans="1:19" x14ac:dyDescent="0.25">
      <c r="A16" s="213"/>
      <c r="B16" s="211"/>
      <c r="C16" s="215"/>
      <c r="D16" s="203"/>
      <c r="E16" s="211"/>
      <c r="F16" s="217"/>
      <c r="G16" s="194"/>
      <c r="H16" s="194"/>
      <c r="I16" s="194"/>
      <c r="J16" s="194"/>
      <c r="K16" s="194"/>
      <c r="L16" s="194"/>
      <c r="M16" s="194"/>
      <c r="N16" s="211"/>
      <c r="O16" s="211"/>
      <c r="P16" s="211"/>
      <c r="Q16" s="211"/>
      <c r="R16" s="211"/>
      <c r="S16" s="211"/>
    </row>
    <row r="17" spans="1:19" x14ac:dyDescent="0.25">
      <c r="A17" s="119" t="s">
        <v>222</v>
      </c>
      <c r="B17" s="120"/>
      <c r="C17" s="121"/>
      <c r="D17" s="122"/>
      <c r="E17" s="123"/>
      <c r="F17" s="124"/>
      <c r="G17" s="125"/>
      <c r="H17" s="125"/>
      <c r="I17" s="125"/>
      <c r="J17" s="125"/>
      <c r="K17" s="125"/>
      <c r="L17" s="125"/>
      <c r="M17" s="125"/>
      <c r="N17" s="33"/>
      <c r="O17" s="33"/>
      <c r="P17" s="33"/>
      <c r="Q17" s="33"/>
      <c r="R17" s="33"/>
      <c r="S17" s="31"/>
    </row>
    <row r="18" spans="1:19" x14ac:dyDescent="0.25">
      <c r="A18" s="126" t="s">
        <v>223</v>
      </c>
      <c r="B18" s="120"/>
      <c r="C18" s="121"/>
      <c r="D18" s="122"/>
      <c r="E18" s="123"/>
      <c r="F18" s="124"/>
      <c r="G18" s="125"/>
      <c r="H18" s="125"/>
      <c r="I18" s="125"/>
      <c r="J18" s="125"/>
      <c r="K18" s="125"/>
      <c r="L18" s="125"/>
      <c r="M18" s="125"/>
      <c r="N18" s="33"/>
      <c r="O18" s="33"/>
      <c r="P18" s="33"/>
      <c r="Q18" s="33"/>
      <c r="R18" s="33"/>
      <c r="S18" s="31"/>
    </row>
    <row r="19" spans="1:19" ht="264" x14ac:dyDescent="0.25">
      <c r="A19" s="127" t="s">
        <v>102</v>
      </c>
      <c r="B19" s="128" t="s">
        <v>474</v>
      </c>
      <c r="C19" s="129" t="s">
        <v>782</v>
      </c>
      <c r="D19" s="130"/>
      <c r="E19" s="127" t="s">
        <v>224</v>
      </c>
      <c r="F19" s="131">
        <f t="shared" ref="F19:F71" si="0">SUM(G19:M19)</f>
        <v>83</v>
      </c>
      <c r="G19" s="113">
        <f>6.46*2.7-2.4*2.3</f>
        <v>11.92</v>
      </c>
      <c r="H19" s="113">
        <f>6.42*2.7-2.4*2.3</f>
        <v>11.81</v>
      </c>
      <c r="I19" s="113">
        <f>6.42*2.7-2.4*2.3</f>
        <v>11.81</v>
      </c>
      <c r="J19" s="113">
        <f>6.46*2.7-2.4*2.3</f>
        <v>11.92</v>
      </c>
      <c r="K19" s="113">
        <f>6.42*2.7-2.4*2.3</f>
        <v>11.81</v>
      </c>
      <c r="L19" s="113">
        <f>6.46*2.7-2.4*2.3</f>
        <v>11.92</v>
      </c>
      <c r="M19" s="113">
        <f>6.42*2.7-2.4*2.3</f>
        <v>11.81</v>
      </c>
      <c r="N19" s="104">
        <f>VLOOKUP(B19,'Форма КП'!$B$17:$G$25,5,FALSE)</f>
        <v>0</v>
      </c>
      <c r="O19" s="104">
        <f>N19*F19</f>
        <v>0</v>
      </c>
      <c r="P19" s="104"/>
      <c r="Q19" s="104"/>
      <c r="R19" s="104">
        <f>N19</f>
        <v>0</v>
      </c>
      <c r="S19" s="104">
        <f>N19*F19</f>
        <v>0</v>
      </c>
    </row>
    <row r="20" spans="1:19" x14ac:dyDescent="0.25">
      <c r="A20" s="132" t="s">
        <v>103</v>
      </c>
      <c r="B20" s="128" t="s">
        <v>475</v>
      </c>
      <c r="C20" s="133" t="s">
        <v>476</v>
      </c>
      <c r="D20" s="90">
        <v>2.25</v>
      </c>
      <c r="E20" s="132" t="s">
        <v>224</v>
      </c>
      <c r="F20" s="134">
        <f t="shared" si="0"/>
        <v>186.74</v>
      </c>
      <c r="G20" s="88">
        <f>G19*D20</f>
        <v>26.82</v>
      </c>
      <c r="H20" s="88">
        <f>H19*D20</f>
        <v>26.57</v>
      </c>
      <c r="I20" s="88">
        <f>I19*D20</f>
        <v>26.57</v>
      </c>
      <c r="J20" s="88">
        <f>J19*D20</f>
        <v>26.82</v>
      </c>
      <c r="K20" s="88">
        <f>K19*D20</f>
        <v>26.57</v>
      </c>
      <c r="L20" s="88">
        <f>L19*D20</f>
        <v>26.82</v>
      </c>
      <c r="M20" s="88">
        <f>M19*D20</f>
        <v>26.57</v>
      </c>
      <c r="N20" s="29"/>
      <c r="O20" s="29"/>
      <c r="P20" s="86">
        <f>VLOOKUP(B20,'Форма КП'!$B$27:$G$49,5,FALSE)</f>
        <v>0</v>
      </c>
      <c r="Q20" s="86">
        <f t="shared" ref="Q20:Q22" si="1">P20*F20</f>
        <v>0</v>
      </c>
      <c r="R20" s="32">
        <f t="shared" ref="R20:R22" si="2">P20</f>
        <v>0</v>
      </c>
      <c r="S20" s="32">
        <f t="shared" ref="S20:S22" si="3">P20*F20</f>
        <v>0</v>
      </c>
    </row>
    <row r="21" spans="1:19" x14ac:dyDescent="0.25">
      <c r="A21" s="132" t="s">
        <v>104</v>
      </c>
      <c r="B21" s="128" t="s">
        <v>477</v>
      </c>
      <c r="C21" s="133" t="s">
        <v>478</v>
      </c>
      <c r="D21" s="90">
        <v>0.86</v>
      </c>
      <c r="E21" s="132" t="s">
        <v>6</v>
      </c>
      <c r="F21" s="134">
        <f t="shared" si="0"/>
        <v>71.39</v>
      </c>
      <c r="G21" s="88">
        <f>G19*D21</f>
        <v>10.25</v>
      </c>
      <c r="H21" s="88">
        <f>H19*D21</f>
        <v>10.16</v>
      </c>
      <c r="I21" s="88">
        <f>I19*D21</f>
        <v>10.16</v>
      </c>
      <c r="J21" s="88">
        <f>J19*D21</f>
        <v>10.25</v>
      </c>
      <c r="K21" s="88">
        <f>K19*D21</f>
        <v>10.16</v>
      </c>
      <c r="L21" s="88">
        <f>L19*D21</f>
        <v>10.25</v>
      </c>
      <c r="M21" s="88">
        <f>M19*D21</f>
        <v>10.16</v>
      </c>
      <c r="N21" s="29"/>
      <c r="O21" s="29"/>
      <c r="P21" s="86">
        <f>VLOOKUP(B21,'Форма КП'!$B$27:$G$49,5,FALSE)</f>
        <v>0</v>
      </c>
      <c r="Q21" s="86">
        <f t="shared" si="1"/>
        <v>0</v>
      </c>
      <c r="R21" s="32">
        <f t="shared" si="2"/>
        <v>0</v>
      </c>
      <c r="S21" s="32">
        <f t="shared" si="3"/>
        <v>0</v>
      </c>
    </row>
    <row r="22" spans="1:19" x14ac:dyDescent="0.25">
      <c r="A22" s="132" t="s">
        <v>105</v>
      </c>
      <c r="B22" s="128" t="s">
        <v>479</v>
      </c>
      <c r="C22" s="133" t="s">
        <v>480</v>
      </c>
      <c r="D22" s="90">
        <v>2.34</v>
      </c>
      <c r="E22" s="132" t="s">
        <v>6</v>
      </c>
      <c r="F22" s="134">
        <f t="shared" si="0"/>
        <v>194.23</v>
      </c>
      <c r="G22" s="88">
        <f>G19*D22</f>
        <v>27.89</v>
      </c>
      <c r="H22" s="88">
        <f>H19*D22</f>
        <v>27.64</v>
      </c>
      <c r="I22" s="88">
        <f>I19*D22</f>
        <v>27.64</v>
      </c>
      <c r="J22" s="88">
        <f>J19*D22</f>
        <v>27.89</v>
      </c>
      <c r="K22" s="88">
        <f>K19*D22</f>
        <v>27.64</v>
      </c>
      <c r="L22" s="88">
        <f>L19*D22</f>
        <v>27.89</v>
      </c>
      <c r="M22" s="88">
        <f>M19*D22</f>
        <v>27.64</v>
      </c>
      <c r="N22" s="29"/>
      <c r="O22" s="29"/>
      <c r="P22" s="86">
        <f>VLOOKUP(B22,'Форма КП'!$B$27:$G$49,5,FALSE)</f>
        <v>0</v>
      </c>
      <c r="Q22" s="86">
        <f t="shared" si="1"/>
        <v>0</v>
      </c>
      <c r="R22" s="32">
        <f t="shared" si="2"/>
        <v>0</v>
      </c>
      <c r="S22" s="32">
        <f t="shared" si="3"/>
        <v>0</v>
      </c>
    </row>
    <row r="23" spans="1:19" ht="132" x14ac:dyDescent="0.25">
      <c r="A23" s="127" t="s">
        <v>106</v>
      </c>
      <c r="B23" s="128" t="s">
        <v>481</v>
      </c>
      <c r="C23" s="129" t="s">
        <v>778</v>
      </c>
      <c r="D23" s="130"/>
      <c r="E23" s="127" t="s">
        <v>224</v>
      </c>
      <c r="F23" s="131">
        <f t="shared" si="0"/>
        <v>71.08</v>
      </c>
      <c r="G23" s="113">
        <f>G19</f>
        <v>11.92</v>
      </c>
      <c r="H23" s="113">
        <f>H19</f>
        <v>11.81</v>
      </c>
      <c r="I23" s="113">
        <f t="shared" ref="I23:M23" si="4">I19</f>
        <v>11.81</v>
      </c>
      <c r="J23" s="113">
        <v>0</v>
      </c>
      <c r="K23" s="113">
        <f t="shared" si="4"/>
        <v>11.81</v>
      </c>
      <c r="L23" s="113">
        <f t="shared" si="4"/>
        <v>11.92</v>
      </c>
      <c r="M23" s="113">
        <f t="shared" si="4"/>
        <v>11.81</v>
      </c>
      <c r="N23" s="104">
        <f>VLOOKUP(B23,'Форма КП'!$B$17:$G$25,5,FALSE)</f>
        <v>0</v>
      </c>
      <c r="O23" s="104">
        <f>N23*F23</f>
        <v>0</v>
      </c>
      <c r="P23" s="104"/>
      <c r="Q23" s="104"/>
      <c r="R23" s="104">
        <f>N23</f>
        <v>0</v>
      </c>
      <c r="S23" s="104">
        <f>N23*F23</f>
        <v>0</v>
      </c>
    </row>
    <row r="24" spans="1:19" x14ac:dyDescent="0.25">
      <c r="A24" s="132" t="s">
        <v>107</v>
      </c>
      <c r="B24" s="128" t="s">
        <v>482</v>
      </c>
      <c r="C24" s="133" t="s">
        <v>483</v>
      </c>
      <c r="D24" s="91">
        <v>2.4</v>
      </c>
      <c r="E24" s="132" t="s">
        <v>228</v>
      </c>
      <c r="F24" s="134">
        <f t="shared" si="0"/>
        <v>170.58</v>
      </c>
      <c r="G24" s="88">
        <f>G23*D24</f>
        <v>28.61</v>
      </c>
      <c r="H24" s="88">
        <f>H23*D24</f>
        <v>28.34</v>
      </c>
      <c r="I24" s="88">
        <f>I23*D24</f>
        <v>28.34</v>
      </c>
      <c r="J24" s="88">
        <f>J23*D24</f>
        <v>0</v>
      </c>
      <c r="K24" s="88">
        <f>K23*D24</f>
        <v>28.34</v>
      </c>
      <c r="L24" s="88">
        <f>L23*D24</f>
        <v>28.61</v>
      </c>
      <c r="M24" s="88">
        <f>M23*D24</f>
        <v>28.34</v>
      </c>
      <c r="N24" s="29"/>
      <c r="O24" s="29"/>
      <c r="P24" s="49" t="str">
        <f>VLOOKUP(B24,'Форма КП'!$B$27:$G$49,5,FALSE)</f>
        <v>Материал заказчика</v>
      </c>
      <c r="Q24" s="50"/>
      <c r="R24" s="49" t="str">
        <f t="shared" ref="R24:R25" si="5">P24</f>
        <v>Материал заказчика</v>
      </c>
      <c r="S24" s="50"/>
    </row>
    <row r="25" spans="1:19" x14ac:dyDescent="0.25">
      <c r="A25" s="132" t="s">
        <v>108</v>
      </c>
      <c r="B25" s="128" t="s">
        <v>484</v>
      </c>
      <c r="C25" s="133" t="s">
        <v>225</v>
      </c>
      <c r="D25" s="90">
        <v>0.15</v>
      </c>
      <c r="E25" s="132" t="s">
        <v>226</v>
      </c>
      <c r="F25" s="134">
        <f t="shared" si="0"/>
        <v>10.66</v>
      </c>
      <c r="G25" s="88">
        <f>G23*D25</f>
        <v>1.79</v>
      </c>
      <c r="H25" s="88">
        <f>H23*D25</f>
        <v>1.77</v>
      </c>
      <c r="I25" s="88">
        <f>I23*D25</f>
        <v>1.77</v>
      </c>
      <c r="J25" s="88">
        <f>J23*D25</f>
        <v>0</v>
      </c>
      <c r="K25" s="88">
        <f>K23*D25</f>
        <v>1.77</v>
      </c>
      <c r="L25" s="88">
        <f>L23*D25</f>
        <v>1.79</v>
      </c>
      <c r="M25" s="88">
        <f>M23*D25</f>
        <v>1.77</v>
      </c>
      <c r="N25" s="29"/>
      <c r="O25" s="29"/>
      <c r="P25" s="49" t="str">
        <f>VLOOKUP(B25,'Форма КП'!$B$27:$G$49,5,FALSE)</f>
        <v>Материал заказчика</v>
      </c>
      <c r="Q25" s="50"/>
      <c r="R25" s="49" t="str">
        <f t="shared" si="5"/>
        <v>Материал заказчика</v>
      </c>
      <c r="S25" s="50"/>
    </row>
    <row r="26" spans="1:19" ht="216" x14ac:dyDescent="0.25">
      <c r="A26" s="127" t="s">
        <v>109</v>
      </c>
      <c r="B26" s="128" t="s">
        <v>485</v>
      </c>
      <c r="C26" s="129" t="s">
        <v>774</v>
      </c>
      <c r="D26" s="130"/>
      <c r="E26" s="127" t="s">
        <v>224</v>
      </c>
      <c r="F26" s="131">
        <f t="shared" si="0"/>
        <v>213.13</v>
      </c>
      <c r="G26" s="113">
        <f>10.87*2.7-1.3*2.1</f>
        <v>26.62</v>
      </c>
      <c r="H26" s="113">
        <f>10.83*2.7-1.3*2.1</f>
        <v>26.51</v>
      </c>
      <c r="I26" s="113">
        <f>10.83*2.7-1.3*2.1</f>
        <v>26.51</v>
      </c>
      <c r="J26" s="113">
        <f>(28.35-2)*2.7-6.3*2.1-1.8*2.26</f>
        <v>53.85</v>
      </c>
      <c r="K26" s="113">
        <f>10.83*2.7-1.3*2.1</f>
        <v>26.51</v>
      </c>
      <c r="L26" s="113">
        <f>10.87*2.7-1.3*2.1</f>
        <v>26.62</v>
      </c>
      <c r="M26" s="113">
        <f>10.83*2.7-1.3*2.1</f>
        <v>26.51</v>
      </c>
      <c r="N26" s="104">
        <f>VLOOKUP(B26,'Форма КП'!$B$17:$G$25,5,FALSE)</f>
        <v>0</v>
      </c>
      <c r="O26" s="104">
        <f>N26*F26</f>
        <v>0</v>
      </c>
      <c r="P26" s="104"/>
      <c r="Q26" s="104"/>
      <c r="R26" s="104">
        <f>N26</f>
        <v>0</v>
      </c>
      <c r="S26" s="104">
        <f>N26*F26</f>
        <v>0</v>
      </c>
    </row>
    <row r="27" spans="1:19" x14ac:dyDescent="0.25">
      <c r="A27" s="132" t="s">
        <v>110</v>
      </c>
      <c r="B27" s="128" t="s">
        <v>486</v>
      </c>
      <c r="C27" s="133" t="s">
        <v>487</v>
      </c>
      <c r="D27" s="90">
        <v>1.45</v>
      </c>
      <c r="E27" s="132" t="s">
        <v>6</v>
      </c>
      <c r="F27" s="134">
        <f t="shared" si="0"/>
        <v>309.04000000000002</v>
      </c>
      <c r="G27" s="88">
        <f>G26*D27</f>
        <v>38.6</v>
      </c>
      <c r="H27" s="88">
        <f>H26*D27</f>
        <v>38.44</v>
      </c>
      <c r="I27" s="88">
        <f>I26*D27</f>
        <v>38.44</v>
      </c>
      <c r="J27" s="88">
        <f>J26*D27</f>
        <v>78.08</v>
      </c>
      <c r="K27" s="88">
        <f>K26*D27</f>
        <v>38.44</v>
      </c>
      <c r="L27" s="88">
        <f>L26*D27</f>
        <v>38.6</v>
      </c>
      <c r="M27" s="88">
        <f>M26*D27</f>
        <v>38.44</v>
      </c>
      <c r="N27" s="29"/>
      <c r="O27" s="29"/>
      <c r="P27" s="86">
        <f>VLOOKUP(B27,'Форма КП'!$B$27:$G$49,5,FALSE)</f>
        <v>0</v>
      </c>
      <c r="Q27" s="86">
        <f t="shared" ref="Q27" si="6">P27*F27</f>
        <v>0</v>
      </c>
      <c r="R27" s="32">
        <f t="shared" ref="R27:R29" si="7">P27</f>
        <v>0</v>
      </c>
      <c r="S27" s="32">
        <f t="shared" ref="S27" si="8">P27*F27</f>
        <v>0</v>
      </c>
    </row>
    <row r="28" spans="1:19" x14ac:dyDescent="0.25">
      <c r="A28" s="132" t="s">
        <v>111</v>
      </c>
      <c r="B28" s="128" t="s">
        <v>488</v>
      </c>
      <c r="C28" s="133" t="s">
        <v>489</v>
      </c>
      <c r="D28" s="90">
        <v>0.2</v>
      </c>
      <c r="E28" s="132" t="s">
        <v>228</v>
      </c>
      <c r="F28" s="134">
        <f t="shared" si="0"/>
        <v>42.61</v>
      </c>
      <c r="G28" s="88">
        <f>G26*D28</f>
        <v>5.32</v>
      </c>
      <c r="H28" s="88">
        <f>H26*D28</f>
        <v>5.3</v>
      </c>
      <c r="I28" s="88">
        <f>I26*D28</f>
        <v>5.3</v>
      </c>
      <c r="J28" s="88">
        <f>J26*D28</f>
        <v>10.77</v>
      </c>
      <c r="K28" s="88">
        <f>K26*D28</f>
        <v>5.3</v>
      </c>
      <c r="L28" s="88">
        <f>L26*D28</f>
        <v>5.32</v>
      </c>
      <c r="M28" s="88">
        <f>M26*D28</f>
        <v>5.3</v>
      </c>
      <c r="N28" s="29"/>
      <c r="O28" s="29"/>
      <c r="P28" s="49" t="str">
        <f>VLOOKUP(B28,'Форма КП'!$B$27:$G$49,5,FALSE)</f>
        <v>Материал заказчика</v>
      </c>
      <c r="Q28" s="50"/>
      <c r="R28" s="49" t="str">
        <f t="shared" si="7"/>
        <v>Материал заказчика</v>
      </c>
      <c r="S28" s="50"/>
    </row>
    <row r="29" spans="1:19" x14ac:dyDescent="0.25">
      <c r="A29" s="132" t="s">
        <v>112</v>
      </c>
      <c r="B29" s="128" t="s">
        <v>490</v>
      </c>
      <c r="C29" s="133" t="s">
        <v>491</v>
      </c>
      <c r="D29" s="90">
        <v>16</v>
      </c>
      <c r="E29" s="132" t="s">
        <v>228</v>
      </c>
      <c r="F29" s="134">
        <f t="shared" si="0"/>
        <v>3410.08</v>
      </c>
      <c r="G29" s="88">
        <f>G26*D29</f>
        <v>425.92</v>
      </c>
      <c r="H29" s="88">
        <f>H26*D29</f>
        <v>424.16</v>
      </c>
      <c r="I29" s="88">
        <f>I26*D29</f>
        <v>424.16</v>
      </c>
      <c r="J29" s="88">
        <f>J26*D29</f>
        <v>861.6</v>
      </c>
      <c r="K29" s="88">
        <f>K26*D29</f>
        <v>424.16</v>
      </c>
      <c r="L29" s="88">
        <f>L26*D29</f>
        <v>425.92</v>
      </c>
      <c r="M29" s="88">
        <f>M26*D29</f>
        <v>424.16</v>
      </c>
      <c r="N29" s="29"/>
      <c r="O29" s="29"/>
      <c r="P29" s="49" t="str">
        <f>VLOOKUP(B29,'Форма КП'!$B$27:$G$49,5,FALSE)</f>
        <v>Материал заказчика</v>
      </c>
      <c r="Q29" s="50"/>
      <c r="R29" s="49" t="str">
        <f t="shared" si="7"/>
        <v>Материал заказчика</v>
      </c>
      <c r="S29" s="50"/>
    </row>
    <row r="30" spans="1:19" ht="216" x14ac:dyDescent="0.25">
      <c r="A30" s="127" t="s">
        <v>113</v>
      </c>
      <c r="B30" s="128" t="s">
        <v>485</v>
      </c>
      <c r="C30" s="129" t="s">
        <v>774</v>
      </c>
      <c r="D30" s="130"/>
      <c r="E30" s="127" t="s">
        <v>224</v>
      </c>
      <c r="F30" s="131">
        <f t="shared" si="0"/>
        <v>178.34</v>
      </c>
      <c r="G30" s="113">
        <f>8.1*2.7</f>
        <v>21.87</v>
      </c>
      <c r="H30" s="113">
        <f>8.1*2.7</f>
        <v>21.87</v>
      </c>
      <c r="I30" s="113">
        <f>8.1*2.7</f>
        <v>21.87</v>
      </c>
      <c r="J30" s="113">
        <f>21.05*2.7-1.8*2.45-2.6*2.25</f>
        <v>46.58</v>
      </c>
      <c r="K30" s="113">
        <f>8.1*2.7</f>
        <v>21.87</v>
      </c>
      <c r="L30" s="113">
        <f>8.1*2.7</f>
        <v>21.87</v>
      </c>
      <c r="M30" s="113">
        <f>8.3*2.7</f>
        <v>22.41</v>
      </c>
      <c r="N30" s="104">
        <f>VLOOKUP(B30,'Форма КП'!$B$17:$G$25,5,FALSE)</f>
        <v>0</v>
      </c>
      <c r="O30" s="104">
        <f>N30*F30</f>
        <v>0</v>
      </c>
      <c r="P30" s="104"/>
      <c r="Q30" s="104"/>
      <c r="R30" s="104">
        <f>N30</f>
        <v>0</v>
      </c>
      <c r="S30" s="104">
        <f>N30*F30</f>
        <v>0</v>
      </c>
    </row>
    <row r="31" spans="1:19" x14ac:dyDescent="0.25">
      <c r="A31" s="132" t="s">
        <v>114</v>
      </c>
      <c r="B31" s="128" t="s">
        <v>486</v>
      </c>
      <c r="C31" s="133" t="s">
        <v>487</v>
      </c>
      <c r="D31" s="90">
        <v>1.45</v>
      </c>
      <c r="E31" s="132" t="s">
        <v>6</v>
      </c>
      <c r="F31" s="134">
        <f t="shared" si="0"/>
        <v>258.58</v>
      </c>
      <c r="G31" s="88">
        <f>G30*D31</f>
        <v>31.71</v>
      </c>
      <c r="H31" s="88">
        <f>H30*D31</f>
        <v>31.71</v>
      </c>
      <c r="I31" s="88">
        <f>I30*D31</f>
        <v>31.71</v>
      </c>
      <c r="J31" s="88">
        <f>J30*D31</f>
        <v>67.540000000000006</v>
      </c>
      <c r="K31" s="88">
        <f>K30*D31</f>
        <v>31.71</v>
      </c>
      <c r="L31" s="88">
        <f>L30*D31</f>
        <v>31.71</v>
      </c>
      <c r="M31" s="88">
        <f>M30*D31</f>
        <v>32.49</v>
      </c>
      <c r="N31" s="29"/>
      <c r="O31" s="29"/>
      <c r="P31" s="86">
        <f>VLOOKUP(B31,'Форма КП'!$B$27:$G$49,5,FALSE)</f>
        <v>0</v>
      </c>
      <c r="Q31" s="86">
        <f t="shared" ref="Q31" si="9">P31*F31</f>
        <v>0</v>
      </c>
      <c r="R31" s="32">
        <f t="shared" ref="R31:R33" si="10">P31</f>
        <v>0</v>
      </c>
      <c r="S31" s="32">
        <f t="shared" ref="S31" si="11">P31*F31</f>
        <v>0</v>
      </c>
    </row>
    <row r="32" spans="1:19" x14ac:dyDescent="0.25">
      <c r="A32" s="132" t="s">
        <v>115</v>
      </c>
      <c r="B32" s="128" t="s">
        <v>484</v>
      </c>
      <c r="C32" s="133" t="s">
        <v>225</v>
      </c>
      <c r="D32" s="90">
        <v>0.4</v>
      </c>
      <c r="E32" s="132" t="s">
        <v>226</v>
      </c>
      <c r="F32" s="134">
        <f t="shared" si="0"/>
        <v>71.34</v>
      </c>
      <c r="G32" s="88">
        <f>G30*D32</f>
        <v>8.75</v>
      </c>
      <c r="H32" s="88">
        <f>H30*D32</f>
        <v>8.75</v>
      </c>
      <c r="I32" s="88">
        <f>I30*D32</f>
        <v>8.75</v>
      </c>
      <c r="J32" s="88">
        <f>J30*D32</f>
        <v>18.63</v>
      </c>
      <c r="K32" s="88">
        <f>K30*D32</f>
        <v>8.75</v>
      </c>
      <c r="L32" s="88">
        <f>L30*D32</f>
        <v>8.75</v>
      </c>
      <c r="M32" s="88">
        <f>M30*D32</f>
        <v>8.9600000000000009</v>
      </c>
      <c r="N32" s="29"/>
      <c r="O32" s="29"/>
      <c r="P32" s="49" t="str">
        <f>VLOOKUP(B32,'Форма КП'!$B$27:$G$49,5,FALSE)</f>
        <v>Материал заказчика</v>
      </c>
      <c r="Q32" s="50"/>
      <c r="R32" s="49" t="str">
        <f t="shared" si="10"/>
        <v>Материал заказчика</v>
      </c>
      <c r="S32" s="50"/>
    </row>
    <row r="33" spans="1:19" x14ac:dyDescent="0.25">
      <c r="A33" s="132" t="s">
        <v>116</v>
      </c>
      <c r="B33" s="128" t="s">
        <v>490</v>
      </c>
      <c r="C33" s="133" t="s">
        <v>491</v>
      </c>
      <c r="D33" s="90">
        <v>16</v>
      </c>
      <c r="E33" s="132" t="s">
        <v>228</v>
      </c>
      <c r="F33" s="134">
        <f t="shared" si="0"/>
        <v>2853.44</v>
      </c>
      <c r="G33" s="88">
        <f>G30*D33</f>
        <v>349.92</v>
      </c>
      <c r="H33" s="88">
        <f>H30*D33</f>
        <v>349.92</v>
      </c>
      <c r="I33" s="88">
        <f>I30*D33</f>
        <v>349.92</v>
      </c>
      <c r="J33" s="88">
        <f>J30*D33</f>
        <v>745.28</v>
      </c>
      <c r="K33" s="88">
        <f>K30*D33</f>
        <v>349.92</v>
      </c>
      <c r="L33" s="88">
        <f>L30*D33</f>
        <v>349.92</v>
      </c>
      <c r="M33" s="88">
        <f>M30*D33</f>
        <v>358.56</v>
      </c>
      <c r="N33" s="29"/>
      <c r="O33" s="29"/>
      <c r="P33" s="49" t="str">
        <f>VLOOKUP(B33,'Форма КП'!$B$27:$G$49,5,FALSE)</f>
        <v>Материал заказчика</v>
      </c>
      <c r="Q33" s="50"/>
      <c r="R33" s="49" t="str">
        <f t="shared" si="10"/>
        <v>Материал заказчика</v>
      </c>
      <c r="S33" s="50"/>
    </row>
    <row r="34" spans="1:19" ht="216" x14ac:dyDescent="0.25">
      <c r="A34" s="127" t="s">
        <v>117</v>
      </c>
      <c r="B34" s="128" t="s">
        <v>492</v>
      </c>
      <c r="C34" s="129" t="s">
        <v>775</v>
      </c>
      <c r="D34" s="130"/>
      <c r="E34" s="127" t="s">
        <v>224</v>
      </c>
      <c r="F34" s="131">
        <f t="shared" si="0"/>
        <v>17.989999999999998</v>
      </c>
      <c r="G34" s="113"/>
      <c r="H34" s="113"/>
      <c r="I34" s="113"/>
      <c r="J34" s="113">
        <f>8.125*2.7-2.27*1.74</f>
        <v>17.989999999999998</v>
      </c>
      <c r="K34" s="113"/>
      <c r="L34" s="113"/>
      <c r="M34" s="113"/>
      <c r="N34" s="104">
        <f>VLOOKUP(B34,'Форма КП'!$B$17:$G$25,5,FALSE)</f>
        <v>0</v>
      </c>
      <c r="O34" s="104">
        <f>N34*F34</f>
        <v>0</v>
      </c>
      <c r="P34" s="104"/>
      <c r="Q34" s="104"/>
      <c r="R34" s="104">
        <f>N34</f>
        <v>0</v>
      </c>
      <c r="S34" s="104">
        <f>N34*F34</f>
        <v>0</v>
      </c>
    </row>
    <row r="35" spans="1:19" x14ac:dyDescent="0.25">
      <c r="A35" s="132" t="s">
        <v>118</v>
      </c>
      <c r="B35" s="128" t="s">
        <v>486</v>
      </c>
      <c r="C35" s="133" t="s">
        <v>487</v>
      </c>
      <c r="D35" s="90">
        <v>1.45</v>
      </c>
      <c r="E35" s="132" t="s">
        <v>6</v>
      </c>
      <c r="F35" s="134">
        <f t="shared" si="0"/>
        <v>26.09</v>
      </c>
      <c r="G35" s="88">
        <f>G34*D35</f>
        <v>0</v>
      </c>
      <c r="H35" s="88">
        <f>H34*D35</f>
        <v>0</v>
      </c>
      <c r="I35" s="88">
        <f>I34*D35</f>
        <v>0</v>
      </c>
      <c r="J35" s="88">
        <f>J34*D35</f>
        <v>26.09</v>
      </c>
      <c r="K35" s="88">
        <f>K34*D35</f>
        <v>0</v>
      </c>
      <c r="L35" s="88">
        <f>L34*D35</f>
        <v>0</v>
      </c>
      <c r="M35" s="88">
        <f>M34*D35</f>
        <v>0</v>
      </c>
      <c r="N35" s="29"/>
      <c r="O35" s="29"/>
      <c r="P35" s="86">
        <f>VLOOKUP(B35,'Форма КП'!$B$27:$G$49,5,FALSE)</f>
        <v>0</v>
      </c>
      <c r="Q35" s="86">
        <f t="shared" ref="Q35" si="12">P35*F35</f>
        <v>0</v>
      </c>
      <c r="R35" s="32">
        <f t="shared" ref="R35:R37" si="13">P35</f>
        <v>0</v>
      </c>
      <c r="S35" s="32">
        <f t="shared" ref="S35" si="14">P35*F35</f>
        <v>0</v>
      </c>
    </row>
    <row r="36" spans="1:19" x14ac:dyDescent="0.25">
      <c r="A36" s="132" t="s">
        <v>119</v>
      </c>
      <c r="B36" s="128" t="s">
        <v>484</v>
      </c>
      <c r="C36" s="133" t="s">
        <v>225</v>
      </c>
      <c r="D36" s="90">
        <v>0.4</v>
      </c>
      <c r="E36" s="132" t="s">
        <v>226</v>
      </c>
      <c r="F36" s="134">
        <f t="shared" si="0"/>
        <v>7.2</v>
      </c>
      <c r="G36" s="88">
        <f>G34*D36</f>
        <v>0</v>
      </c>
      <c r="H36" s="88">
        <f>H34*D36</f>
        <v>0</v>
      </c>
      <c r="I36" s="88">
        <f>I34*D36</f>
        <v>0</v>
      </c>
      <c r="J36" s="88">
        <f>J34*D36</f>
        <v>7.2</v>
      </c>
      <c r="K36" s="88">
        <f>K34*D36</f>
        <v>0</v>
      </c>
      <c r="L36" s="88">
        <f>L34*D36</f>
        <v>0</v>
      </c>
      <c r="M36" s="88">
        <f>M34*D36</f>
        <v>0</v>
      </c>
      <c r="N36" s="29"/>
      <c r="O36" s="29"/>
      <c r="P36" s="49" t="str">
        <f>VLOOKUP(B36,'Форма КП'!$B$27:$G$49,5,FALSE)</f>
        <v>Материал заказчика</v>
      </c>
      <c r="Q36" s="50"/>
      <c r="R36" s="49" t="str">
        <f t="shared" si="13"/>
        <v>Материал заказчика</v>
      </c>
      <c r="S36" s="50"/>
    </row>
    <row r="37" spans="1:19" x14ac:dyDescent="0.25">
      <c r="A37" s="132" t="s">
        <v>120</v>
      </c>
      <c r="B37" s="128" t="s">
        <v>490</v>
      </c>
      <c r="C37" s="133" t="s">
        <v>491</v>
      </c>
      <c r="D37" s="90">
        <v>32</v>
      </c>
      <c r="E37" s="132" t="s">
        <v>228</v>
      </c>
      <c r="F37" s="134">
        <f t="shared" si="0"/>
        <v>575.67999999999995</v>
      </c>
      <c r="G37" s="88">
        <f>G34*D37</f>
        <v>0</v>
      </c>
      <c r="H37" s="88">
        <f>H34*D37</f>
        <v>0</v>
      </c>
      <c r="I37" s="88">
        <f>I34*D37</f>
        <v>0</v>
      </c>
      <c r="J37" s="88">
        <f>J34*D37</f>
        <v>575.67999999999995</v>
      </c>
      <c r="K37" s="88">
        <f>K34*D37</f>
        <v>0</v>
      </c>
      <c r="L37" s="88">
        <f>L34*D37</f>
        <v>0</v>
      </c>
      <c r="M37" s="88">
        <f>M34*D37</f>
        <v>0</v>
      </c>
      <c r="N37" s="29"/>
      <c r="O37" s="29"/>
      <c r="P37" s="49" t="str">
        <f>VLOOKUP(B37,'Форма КП'!$B$27:$G$49,5,FALSE)</f>
        <v>Материал заказчика</v>
      </c>
      <c r="Q37" s="50"/>
      <c r="R37" s="49" t="str">
        <f t="shared" si="13"/>
        <v>Материал заказчика</v>
      </c>
      <c r="S37" s="50"/>
    </row>
    <row r="38" spans="1:19" ht="156" x14ac:dyDescent="0.25">
      <c r="A38" s="127" t="s">
        <v>121</v>
      </c>
      <c r="B38" s="128" t="s">
        <v>493</v>
      </c>
      <c r="C38" s="129" t="s">
        <v>780</v>
      </c>
      <c r="D38" s="130"/>
      <c r="E38" s="127" t="s">
        <v>224</v>
      </c>
      <c r="F38" s="131">
        <f t="shared" si="0"/>
        <v>90.28</v>
      </c>
      <c r="G38" s="113"/>
      <c r="H38" s="113"/>
      <c r="I38" s="113"/>
      <c r="J38" s="113">
        <f>6.46*2.7-1.4*2.1-1*2.1+2*2.7+29.26*2.7-2.27*1.44-2.1*1.3-1.58*1.87+2.43</f>
        <v>90.28</v>
      </c>
      <c r="K38" s="113"/>
      <c r="L38" s="113"/>
      <c r="M38" s="113"/>
      <c r="N38" s="104">
        <f>VLOOKUP(B38,'Форма КП'!$B$17:$G$25,5,FALSE)</f>
        <v>0</v>
      </c>
      <c r="O38" s="104">
        <f>N38*F38</f>
        <v>0</v>
      </c>
      <c r="P38" s="104"/>
      <c r="Q38" s="104"/>
      <c r="R38" s="104">
        <f>N38</f>
        <v>0</v>
      </c>
      <c r="S38" s="104">
        <f>N38*F38</f>
        <v>0</v>
      </c>
    </row>
    <row r="39" spans="1:19" x14ac:dyDescent="0.25">
      <c r="A39" s="132" t="s">
        <v>122</v>
      </c>
      <c r="B39" s="128" t="s">
        <v>494</v>
      </c>
      <c r="C39" s="133" t="s">
        <v>495</v>
      </c>
      <c r="D39" s="90">
        <v>1</v>
      </c>
      <c r="E39" s="132" t="s">
        <v>226</v>
      </c>
      <c r="F39" s="134">
        <f t="shared" si="0"/>
        <v>5.4</v>
      </c>
      <c r="G39" s="88">
        <v>0</v>
      </c>
      <c r="H39" s="88">
        <v>0</v>
      </c>
      <c r="I39" s="88">
        <v>0</v>
      </c>
      <c r="J39" s="88">
        <f>2*2.7</f>
        <v>5.4</v>
      </c>
      <c r="K39" s="88">
        <v>0</v>
      </c>
      <c r="L39" s="88">
        <v>0</v>
      </c>
      <c r="M39" s="88">
        <v>0</v>
      </c>
      <c r="N39" s="29"/>
      <c r="O39" s="29"/>
      <c r="P39" s="49" t="str">
        <f>VLOOKUP(B39,'Форма КП'!$B$27:$G$49,5,FALSE)</f>
        <v>Материал заказчика</v>
      </c>
      <c r="Q39" s="50"/>
      <c r="R39" s="49" t="str">
        <f t="shared" ref="R39:R45" si="15">P39</f>
        <v>Материал заказчика</v>
      </c>
      <c r="S39" s="50"/>
    </row>
    <row r="40" spans="1:19" x14ac:dyDescent="0.25">
      <c r="A40" s="132" t="s">
        <v>123</v>
      </c>
      <c r="B40" s="128" t="s">
        <v>484</v>
      </c>
      <c r="C40" s="133" t="s">
        <v>225</v>
      </c>
      <c r="D40" s="90">
        <v>0.15</v>
      </c>
      <c r="E40" s="132" t="s">
        <v>226</v>
      </c>
      <c r="F40" s="134">
        <f t="shared" si="0"/>
        <v>2.7</v>
      </c>
      <c r="G40" s="88">
        <f>G38*D40</f>
        <v>0</v>
      </c>
      <c r="H40" s="88">
        <f>H38*D40</f>
        <v>0</v>
      </c>
      <c r="I40" s="88">
        <f>I38*D40</f>
        <v>0</v>
      </c>
      <c r="J40" s="88">
        <f>(8.125*2.7-2.27*1.74)*D40</f>
        <v>2.7</v>
      </c>
      <c r="K40" s="88">
        <f>K38*D40</f>
        <v>0</v>
      </c>
      <c r="L40" s="88">
        <f>L38*D40</f>
        <v>0</v>
      </c>
      <c r="M40" s="88">
        <f>M38*D40</f>
        <v>0</v>
      </c>
      <c r="N40" s="29"/>
      <c r="O40" s="29"/>
      <c r="P40" s="49" t="str">
        <f>VLOOKUP(B40,'Форма КП'!$B$27:$G$49,5,FALSE)</f>
        <v>Материал заказчика</v>
      </c>
      <c r="Q40" s="50"/>
      <c r="R40" s="49" t="str">
        <f t="shared" si="15"/>
        <v>Материал заказчика</v>
      </c>
      <c r="S40" s="50"/>
    </row>
    <row r="41" spans="1:19" x14ac:dyDescent="0.25">
      <c r="A41" s="132" t="s">
        <v>124</v>
      </c>
      <c r="B41" s="128" t="s">
        <v>496</v>
      </c>
      <c r="C41" s="133" t="s">
        <v>227</v>
      </c>
      <c r="D41" s="90">
        <v>10</v>
      </c>
      <c r="E41" s="132" t="s">
        <v>228</v>
      </c>
      <c r="F41" s="134">
        <f t="shared" si="0"/>
        <v>902.8</v>
      </c>
      <c r="G41" s="88">
        <f>G38*D41</f>
        <v>0</v>
      </c>
      <c r="H41" s="88">
        <f>H38*D41</f>
        <v>0</v>
      </c>
      <c r="I41" s="88">
        <f>I38*D41</f>
        <v>0</v>
      </c>
      <c r="J41" s="88">
        <f>J38*D41</f>
        <v>902.8</v>
      </c>
      <c r="K41" s="88">
        <f>K38*D41</f>
        <v>0</v>
      </c>
      <c r="L41" s="88">
        <f>L38*D41</f>
        <v>0</v>
      </c>
      <c r="M41" s="88">
        <f>M38*D41</f>
        <v>0</v>
      </c>
      <c r="N41" s="29"/>
      <c r="O41" s="29"/>
      <c r="P41" s="49" t="str">
        <f>VLOOKUP(B41,'Форма КП'!$B$27:$G$49,5,FALSE)</f>
        <v>Материал заказчика</v>
      </c>
      <c r="Q41" s="50"/>
      <c r="R41" s="49" t="str">
        <f t="shared" si="15"/>
        <v>Материал заказчика</v>
      </c>
      <c r="S41" s="50"/>
    </row>
    <row r="42" spans="1:19" x14ac:dyDescent="0.25">
      <c r="A42" s="132" t="s">
        <v>125</v>
      </c>
      <c r="B42" s="128" t="s">
        <v>497</v>
      </c>
      <c r="C42" s="133" t="s">
        <v>498</v>
      </c>
      <c r="D42" s="90">
        <v>0.2</v>
      </c>
      <c r="E42" s="132" t="s">
        <v>228</v>
      </c>
      <c r="F42" s="134">
        <f t="shared" si="0"/>
        <v>4.07</v>
      </c>
      <c r="G42" s="88">
        <f>G38*D42</f>
        <v>0</v>
      </c>
      <c r="H42" s="88">
        <f>H38*D42</f>
        <v>0</v>
      </c>
      <c r="I42" s="88">
        <f>I38*D42</f>
        <v>0</v>
      </c>
      <c r="J42" s="88">
        <f>J44/1.05*D42</f>
        <v>4.07</v>
      </c>
      <c r="K42" s="88">
        <f>K38*D42</f>
        <v>0</v>
      </c>
      <c r="L42" s="88">
        <f>L38*D42</f>
        <v>0</v>
      </c>
      <c r="M42" s="88">
        <f>M38*D42</f>
        <v>0</v>
      </c>
      <c r="N42" s="29"/>
      <c r="O42" s="29"/>
      <c r="P42" s="49" t="str">
        <f>VLOOKUP(B42,'Форма КП'!$B$27:$G$49,5,FALSE)</f>
        <v>Материал заказчика</v>
      </c>
      <c r="Q42" s="50"/>
      <c r="R42" s="49" t="str">
        <f t="shared" si="15"/>
        <v>Материал заказчика</v>
      </c>
      <c r="S42" s="50"/>
    </row>
    <row r="43" spans="1:19" x14ac:dyDescent="0.25">
      <c r="A43" s="132" t="s">
        <v>126</v>
      </c>
      <c r="B43" s="128" t="s">
        <v>499</v>
      </c>
      <c r="C43" s="133" t="s">
        <v>500</v>
      </c>
      <c r="D43" s="90">
        <v>0.2</v>
      </c>
      <c r="E43" s="132" t="s">
        <v>228</v>
      </c>
      <c r="F43" s="134">
        <f t="shared" si="0"/>
        <v>13.98</v>
      </c>
      <c r="G43" s="88">
        <f>G40*D43</f>
        <v>0</v>
      </c>
      <c r="H43" s="88">
        <f>H40*D43</f>
        <v>0</v>
      </c>
      <c r="I43" s="88">
        <f>I40*D43</f>
        <v>0</v>
      </c>
      <c r="J43" s="88">
        <f>J45/1.05*D43</f>
        <v>13.98</v>
      </c>
      <c r="K43" s="88">
        <f>K40*D43</f>
        <v>0</v>
      </c>
      <c r="L43" s="88">
        <f>L40*D43</f>
        <v>0</v>
      </c>
      <c r="M43" s="88">
        <f>M40*D43</f>
        <v>0</v>
      </c>
      <c r="N43" s="29"/>
      <c r="O43" s="29"/>
      <c r="P43" s="49" t="str">
        <f>VLOOKUP(B43,'Форма КП'!$B$27:$G$49,5,FALSE)</f>
        <v>Материал заказчика</v>
      </c>
      <c r="Q43" s="50"/>
      <c r="R43" s="49" t="str">
        <f t="shared" si="15"/>
        <v>Материал заказчика</v>
      </c>
      <c r="S43" s="50"/>
    </row>
    <row r="44" spans="1:19" x14ac:dyDescent="0.25">
      <c r="A44" s="132" t="s">
        <v>127</v>
      </c>
      <c r="B44" s="128" t="s">
        <v>501</v>
      </c>
      <c r="C44" s="133" t="s">
        <v>502</v>
      </c>
      <c r="D44" s="90">
        <v>1.05</v>
      </c>
      <c r="E44" s="132" t="s">
        <v>224</v>
      </c>
      <c r="F44" s="134">
        <f t="shared" si="0"/>
        <v>21.38</v>
      </c>
      <c r="G44" s="88">
        <f>G38*D44</f>
        <v>0</v>
      </c>
      <c r="H44" s="88">
        <f>H38*D44</f>
        <v>0</v>
      </c>
      <c r="I44" s="88">
        <f>I38*D44</f>
        <v>0</v>
      </c>
      <c r="J44" s="88">
        <f>(2*2.7+5.54*2.7)*D44</f>
        <v>21.38</v>
      </c>
      <c r="K44" s="88">
        <f>K38*D44</f>
        <v>0</v>
      </c>
      <c r="L44" s="88">
        <f>L38*D44</f>
        <v>0</v>
      </c>
      <c r="M44" s="88">
        <f>M38*D44</f>
        <v>0</v>
      </c>
      <c r="N44" s="29"/>
      <c r="O44" s="29"/>
      <c r="P44" s="49" t="str">
        <f>VLOOKUP(B44,'Форма КП'!$B$27:$G$49,5,FALSE)</f>
        <v>Материал заказчика</v>
      </c>
      <c r="Q44" s="50"/>
      <c r="R44" s="49" t="str">
        <f t="shared" si="15"/>
        <v>Материал заказчика</v>
      </c>
      <c r="S44" s="50"/>
    </row>
    <row r="45" spans="1:19" x14ac:dyDescent="0.25">
      <c r="A45" s="132" t="s">
        <v>128</v>
      </c>
      <c r="B45" s="128" t="s">
        <v>503</v>
      </c>
      <c r="C45" s="133" t="s">
        <v>504</v>
      </c>
      <c r="D45" s="90">
        <v>1.05</v>
      </c>
      <c r="E45" s="132" t="s">
        <v>224</v>
      </c>
      <c r="F45" s="134">
        <f t="shared" si="0"/>
        <v>73.42</v>
      </c>
      <c r="G45" s="88">
        <f>G38*D45</f>
        <v>0</v>
      </c>
      <c r="H45" s="88">
        <f>H38*D45</f>
        <v>0</v>
      </c>
      <c r="I45" s="88">
        <f>I38*D45</f>
        <v>0</v>
      </c>
      <c r="J45" s="88">
        <f>(6.46*2.7-1.4*2.1-1*2.1+23.72*2.7-1.58*1.87-2.1*1.3-2.27*1.44+2.43)*D45</f>
        <v>73.42</v>
      </c>
      <c r="K45" s="88">
        <f>K38*D45</f>
        <v>0</v>
      </c>
      <c r="L45" s="88">
        <f>L38*D45</f>
        <v>0</v>
      </c>
      <c r="M45" s="88">
        <f>M38*D45</f>
        <v>0</v>
      </c>
      <c r="N45" s="29"/>
      <c r="O45" s="29"/>
      <c r="P45" s="49" t="str">
        <f>VLOOKUP(B45,'Форма КП'!$B$27:$G$49,5,FALSE)</f>
        <v>Материал заказчика</v>
      </c>
      <c r="Q45" s="50"/>
      <c r="R45" s="49" t="str">
        <f t="shared" si="15"/>
        <v>Материал заказчика</v>
      </c>
      <c r="S45" s="50"/>
    </row>
    <row r="46" spans="1:19" ht="108" x14ac:dyDescent="0.25">
      <c r="A46" s="127" t="s">
        <v>129</v>
      </c>
      <c r="B46" s="128" t="s">
        <v>505</v>
      </c>
      <c r="C46" s="129" t="s">
        <v>779</v>
      </c>
      <c r="D46" s="130"/>
      <c r="E46" s="127" t="s">
        <v>224</v>
      </c>
      <c r="F46" s="131">
        <f t="shared" si="0"/>
        <v>576.54999999999995</v>
      </c>
      <c r="G46" s="113">
        <v>87.46</v>
      </c>
      <c r="H46" s="113">
        <v>87.19</v>
      </c>
      <c r="I46" s="113">
        <v>87.19</v>
      </c>
      <c r="J46" s="113">
        <v>52.92</v>
      </c>
      <c r="K46" s="113">
        <v>87.19</v>
      </c>
      <c r="L46" s="113">
        <v>87.14</v>
      </c>
      <c r="M46" s="113">
        <v>87.46</v>
      </c>
      <c r="N46" s="104">
        <f>VLOOKUP(B46,'Форма КП'!$B$17:$G$25,5,FALSE)</f>
        <v>0</v>
      </c>
      <c r="O46" s="104">
        <f>N46*F46</f>
        <v>0</v>
      </c>
      <c r="P46" s="104"/>
      <c r="Q46" s="104"/>
      <c r="R46" s="104">
        <f>N46</f>
        <v>0</v>
      </c>
      <c r="S46" s="104">
        <f>N46*F46</f>
        <v>0</v>
      </c>
    </row>
    <row r="47" spans="1:19" x14ac:dyDescent="0.25">
      <c r="A47" s="132" t="s">
        <v>130</v>
      </c>
      <c r="B47" s="128" t="s">
        <v>484</v>
      </c>
      <c r="C47" s="133" t="s">
        <v>225</v>
      </c>
      <c r="D47" s="90">
        <v>0.15</v>
      </c>
      <c r="E47" s="132" t="s">
        <v>226</v>
      </c>
      <c r="F47" s="134">
        <f t="shared" si="0"/>
        <v>86.49</v>
      </c>
      <c r="G47" s="88">
        <f>G46*D47</f>
        <v>13.12</v>
      </c>
      <c r="H47" s="88">
        <f>H46*D47</f>
        <v>13.08</v>
      </c>
      <c r="I47" s="88">
        <f>I46*D47</f>
        <v>13.08</v>
      </c>
      <c r="J47" s="88">
        <f>J46*D47</f>
        <v>7.94</v>
      </c>
      <c r="K47" s="88">
        <f>K46*D47</f>
        <v>13.08</v>
      </c>
      <c r="L47" s="88">
        <f>L46*D47</f>
        <v>13.07</v>
      </c>
      <c r="M47" s="88">
        <f>M46*D47</f>
        <v>13.12</v>
      </c>
      <c r="N47" s="29"/>
      <c r="O47" s="29"/>
      <c r="P47" s="49" t="str">
        <f>VLOOKUP(B47,'Форма КП'!$B$27:$G$49,5,FALSE)</f>
        <v>Материал заказчика</v>
      </c>
      <c r="Q47" s="50"/>
      <c r="R47" s="49" t="str">
        <f t="shared" ref="R47:R48" si="16">P47</f>
        <v>Материал заказчика</v>
      </c>
      <c r="S47" s="50"/>
    </row>
    <row r="48" spans="1:19" ht="24" x14ac:dyDescent="0.25">
      <c r="A48" s="132" t="s">
        <v>131</v>
      </c>
      <c r="B48" s="128" t="s">
        <v>506</v>
      </c>
      <c r="C48" s="133" t="s">
        <v>507</v>
      </c>
      <c r="D48" s="90">
        <v>0.25</v>
      </c>
      <c r="E48" s="132" t="s">
        <v>226</v>
      </c>
      <c r="F48" s="134">
        <f t="shared" si="0"/>
        <v>144.16</v>
      </c>
      <c r="G48" s="88">
        <f>G46*D48</f>
        <v>21.87</v>
      </c>
      <c r="H48" s="88">
        <f>H46*D48</f>
        <v>21.8</v>
      </c>
      <c r="I48" s="88">
        <f>I46*D48</f>
        <v>21.8</v>
      </c>
      <c r="J48" s="88">
        <f>J46*D48</f>
        <v>13.23</v>
      </c>
      <c r="K48" s="88">
        <f>K46*D48</f>
        <v>21.8</v>
      </c>
      <c r="L48" s="88">
        <f>L46*D48</f>
        <v>21.79</v>
      </c>
      <c r="M48" s="88">
        <f>M46*D48</f>
        <v>21.87</v>
      </c>
      <c r="N48" s="29"/>
      <c r="O48" s="29"/>
      <c r="P48" s="49" t="str">
        <f>VLOOKUP(B48,'Форма КП'!$B$27:$G$49,5,FALSE)</f>
        <v>Материал заказчика</v>
      </c>
      <c r="Q48" s="50"/>
      <c r="R48" s="49" t="str">
        <f t="shared" si="16"/>
        <v>Материал заказчика</v>
      </c>
      <c r="S48" s="50"/>
    </row>
    <row r="49" spans="1:19" ht="108" x14ac:dyDescent="0.25">
      <c r="A49" s="127" t="s">
        <v>132</v>
      </c>
      <c r="B49" s="128" t="s">
        <v>505</v>
      </c>
      <c r="C49" s="129" t="s">
        <v>779</v>
      </c>
      <c r="D49" s="130"/>
      <c r="E49" s="127" t="s">
        <v>224</v>
      </c>
      <c r="F49" s="131">
        <f t="shared" si="0"/>
        <v>70.22</v>
      </c>
      <c r="G49" s="113">
        <f>1.5*2.7+2.43*2.7</f>
        <v>10.61</v>
      </c>
      <c r="H49" s="113">
        <f>1.5*2.7+2.43*2.7</f>
        <v>10.61</v>
      </c>
      <c r="I49" s="113">
        <f>1.5*2.7+2.43*2.7</f>
        <v>10.61</v>
      </c>
      <c r="J49" s="113">
        <f>2.43*2.7</f>
        <v>6.56</v>
      </c>
      <c r="K49" s="113">
        <f>1.5*2.7+2.43*2.7</f>
        <v>10.61</v>
      </c>
      <c r="L49" s="113">
        <f t="shared" ref="L49:M49" si="17">1.5*2.7+2.43*2.7</f>
        <v>10.61</v>
      </c>
      <c r="M49" s="113">
        <f t="shared" si="17"/>
        <v>10.61</v>
      </c>
      <c r="N49" s="104">
        <f>VLOOKUP(B49,'Форма КП'!$B$17:$G$25,5,FALSE)</f>
        <v>0</v>
      </c>
      <c r="O49" s="104">
        <f>N49*F49</f>
        <v>0</v>
      </c>
      <c r="P49" s="104"/>
      <c r="Q49" s="104"/>
      <c r="R49" s="104">
        <f>N49</f>
        <v>0</v>
      </c>
      <c r="S49" s="104">
        <f>N49*F49</f>
        <v>0</v>
      </c>
    </row>
    <row r="50" spans="1:19" x14ac:dyDescent="0.25">
      <c r="A50" s="132" t="s">
        <v>133</v>
      </c>
      <c r="B50" s="128" t="s">
        <v>484</v>
      </c>
      <c r="C50" s="133" t="s">
        <v>225</v>
      </c>
      <c r="D50" s="90">
        <v>0.15</v>
      </c>
      <c r="E50" s="132" t="s">
        <v>226</v>
      </c>
      <c r="F50" s="134">
        <f t="shared" si="0"/>
        <v>10.52</v>
      </c>
      <c r="G50" s="88">
        <f>G49*D50</f>
        <v>1.59</v>
      </c>
      <c r="H50" s="88">
        <f>H49*D50</f>
        <v>1.59</v>
      </c>
      <c r="I50" s="88">
        <f>I49*D50</f>
        <v>1.59</v>
      </c>
      <c r="J50" s="88">
        <f>J49*D50</f>
        <v>0.98</v>
      </c>
      <c r="K50" s="88">
        <f>K49*D50</f>
        <v>1.59</v>
      </c>
      <c r="L50" s="88">
        <f>L49*D50</f>
        <v>1.59</v>
      </c>
      <c r="M50" s="88">
        <f>M49*D50</f>
        <v>1.59</v>
      </c>
      <c r="N50" s="29"/>
      <c r="O50" s="29"/>
      <c r="P50" s="49" t="str">
        <f>VLOOKUP(B50,'Форма КП'!$B$27:$G$49,5,FALSE)</f>
        <v>Материал заказчика</v>
      </c>
      <c r="Q50" s="50"/>
      <c r="R50" s="49" t="str">
        <f t="shared" ref="R50:R51" si="18">P50</f>
        <v>Материал заказчика</v>
      </c>
      <c r="S50" s="50"/>
    </row>
    <row r="51" spans="1:19" ht="24" x14ac:dyDescent="0.25">
      <c r="A51" s="132" t="s">
        <v>134</v>
      </c>
      <c r="B51" s="128" t="s">
        <v>508</v>
      </c>
      <c r="C51" s="133" t="s">
        <v>509</v>
      </c>
      <c r="D51" s="90">
        <v>0.25</v>
      </c>
      <c r="E51" s="132" t="s">
        <v>226</v>
      </c>
      <c r="F51" s="134">
        <f t="shared" si="0"/>
        <v>17.54</v>
      </c>
      <c r="G51" s="88">
        <f>G49*D51</f>
        <v>2.65</v>
      </c>
      <c r="H51" s="88">
        <f>H49*D51</f>
        <v>2.65</v>
      </c>
      <c r="I51" s="88">
        <f>I49*D51</f>
        <v>2.65</v>
      </c>
      <c r="J51" s="88">
        <f>J49*D51</f>
        <v>1.64</v>
      </c>
      <c r="K51" s="88">
        <f>K49*D51</f>
        <v>2.65</v>
      </c>
      <c r="L51" s="88">
        <f>L49*D51</f>
        <v>2.65</v>
      </c>
      <c r="M51" s="88">
        <f>M49*D51</f>
        <v>2.65</v>
      </c>
      <c r="N51" s="29"/>
      <c r="O51" s="29"/>
      <c r="P51" s="49" t="str">
        <f>VLOOKUP(B51,'Форма КП'!$B$27:$G$49,5,FALSE)</f>
        <v>Материал заказчика</v>
      </c>
      <c r="Q51" s="50"/>
      <c r="R51" s="49" t="str">
        <f t="shared" si="18"/>
        <v>Материал заказчика</v>
      </c>
      <c r="S51" s="50"/>
    </row>
    <row r="52" spans="1:19" ht="216" x14ac:dyDescent="0.25">
      <c r="A52" s="127" t="s">
        <v>135</v>
      </c>
      <c r="B52" s="128" t="s">
        <v>510</v>
      </c>
      <c r="C52" s="129" t="s">
        <v>776</v>
      </c>
      <c r="D52" s="130"/>
      <c r="E52" s="127" t="s">
        <v>224</v>
      </c>
      <c r="F52" s="131">
        <f t="shared" si="0"/>
        <v>53.85</v>
      </c>
      <c r="G52" s="113"/>
      <c r="H52" s="113"/>
      <c r="I52" s="113"/>
      <c r="J52" s="113">
        <f>(28.35-2)*2.7-6.3*2.1-1.8*2.26</f>
        <v>53.85</v>
      </c>
      <c r="K52" s="113"/>
      <c r="L52" s="113"/>
      <c r="M52" s="113"/>
      <c r="N52" s="104">
        <f>VLOOKUP(B52,'Форма КП'!$B$17:$G$25,5,FALSE)</f>
        <v>0</v>
      </c>
      <c r="O52" s="104">
        <f>N52*F52</f>
        <v>0</v>
      </c>
      <c r="P52" s="104"/>
      <c r="Q52" s="104"/>
      <c r="R52" s="104">
        <f>N52</f>
        <v>0</v>
      </c>
      <c r="S52" s="104">
        <f>N52*F52</f>
        <v>0</v>
      </c>
    </row>
    <row r="53" spans="1:19" x14ac:dyDescent="0.25">
      <c r="A53" s="132" t="s">
        <v>136</v>
      </c>
      <c r="B53" s="128" t="s">
        <v>486</v>
      </c>
      <c r="C53" s="133" t="s">
        <v>487</v>
      </c>
      <c r="D53" s="90">
        <v>1.45</v>
      </c>
      <c r="E53" s="132" t="s">
        <v>6</v>
      </c>
      <c r="F53" s="134">
        <f t="shared" si="0"/>
        <v>78.08</v>
      </c>
      <c r="G53" s="88"/>
      <c r="H53" s="88"/>
      <c r="I53" s="88"/>
      <c r="J53" s="88">
        <f>J52*D53</f>
        <v>78.08</v>
      </c>
      <c r="K53" s="88"/>
      <c r="L53" s="88"/>
      <c r="M53" s="88"/>
      <c r="N53" s="29"/>
      <c r="O53" s="29"/>
      <c r="P53" s="86">
        <f>VLOOKUP(B53,'Форма КП'!$B$27:$G$49,5,FALSE)</f>
        <v>0</v>
      </c>
      <c r="Q53" s="86">
        <f t="shared" ref="Q53" si="19">P53*F53</f>
        <v>0</v>
      </c>
      <c r="R53" s="32">
        <f t="shared" ref="R53:R55" si="20">P53</f>
        <v>0</v>
      </c>
      <c r="S53" s="32">
        <f t="shared" ref="S53" si="21">P53*F53</f>
        <v>0</v>
      </c>
    </row>
    <row r="54" spans="1:19" x14ac:dyDescent="0.25">
      <c r="A54" s="132" t="s">
        <v>137</v>
      </c>
      <c r="B54" s="128" t="s">
        <v>488</v>
      </c>
      <c r="C54" s="133" t="s">
        <v>489</v>
      </c>
      <c r="D54" s="90">
        <v>0.2</v>
      </c>
      <c r="E54" s="132" t="s">
        <v>228</v>
      </c>
      <c r="F54" s="134">
        <f t="shared" si="0"/>
        <v>10.77</v>
      </c>
      <c r="G54" s="88"/>
      <c r="H54" s="88"/>
      <c r="I54" s="88"/>
      <c r="J54" s="88">
        <f>((28.35-2)*2.7-6.3*2.1-1.8*2.26)*D54</f>
        <v>10.77</v>
      </c>
      <c r="K54" s="88"/>
      <c r="L54" s="88"/>
      <c r="M54" s="88"/>
      <c r="N54" s="29"/>
      <c r="O54" s="29"/>
      <c r="P54" s="49" t="str">
        <f>VLOOKUP(B54,'Форма КП'!$B$27:$G$49,5,FALSE)</f>
        <v>Материал заказчика</v>
      </c>
      <c r="Q54" s="50"/>
      <c r="R54" s="49" t="str">
        <f t="shared" si="20"/>
        <v>Материал заказчика</v>
      </c>
      <c r="S54" s="50"/>
    </row>
    <row r="55" spans="1:19" x14ac:dyDescent="0.25">
      <c r="A55" s="132" t="s">
        <v>138</v>
      </c>
      <c r="B55" s="128" t="s">
        <v>511</v>
      </c>
      <c r="C55" s="133" t="s">
        <v>512</v>
      </c>
      <c r="D55" s="90">
        <v>16</v>
      </c>
      <c r="E55" s="132" t="s">
        <v>228</v>
      </c>
      <c r="F55" s="134">
        <f t="shared" si="0"/>
        <v>861.6</v>
      </c>
      <c r="G55" s="88"/>
      <c r="H55" s="88"/>
      <c r="I55" s="88"/>
      <c r="J55" s="88">
        <f>J52*D55</f>
        <v>861.6</v>
      </c>
      <c r="K55" s="88"/>
      <c r="L55" s="88"/>
      <c r="M55" s="88"/>
      <c r="N55" s="29"/>
      <c r="O55" s="29"/>
      <c r="P55" s="49" t="str">
        <f>VLOOKUP(B55,'Форма КП'!$B$27:$G$49,5,FALSE)</f>
        <v>Материал заказчика</v>
      </c>
      <c r="Q55" s="50"/>
      <c r="R55" s="49" t="str">
        <f t="shared" si="20"/>
        <v>Материал заказчика</v>
      </c>
      <c r="S55" s="50"/>
    </row>
    <row r="56" spans="1:19" ht="216" x14ac:dyDescent="0.25">
      <c r="A56" s="127" t="s">
        <v>139</v>
      </c>
      <c r="B56" s="128" t="s">
        <v>510</v>
      </c>
      <c r="C56" s="129" t="s">
        <v>776</v>
      </c>
      <c r="D56" s="130"/>
      <c r="E56" s="127" t="s">
        <v>224</v>
      </c>
      <c r="F56" s="131">
        <f t="shared" si="0"/>
        <v>24.71</v>
      </c>
      <c r="G56" s="113"/>
      <c r="H56" s="113"/>
      <c r="I56" s="113"/>
      <c r="J56" s="113">
        <f>12.95*2.7-1.8*2.45-2.6*2.25</f>
        <v>24.71</v>
      </c>
      <c r="K56" s="113"/>
      <c r="L56" s="113"/>
      <c r="M56" s="113"/>
      <c r="N56" s="104">
        <f>VLOOKUP(B56,'Форма КП'!$B$17:$G$25,5,FALSE)</f>
        <v>0</v>
      </c>
      <c r="O56" s="104">
        <f>N56*F56</f>
        <v>0</v>
      </c>
      <c r="P56" s="104"/>
      <c r="Q56" s="104"/>
      <c r="R56" s="104">
        <f>N56</f>
        <v>0</v>
      </c>
      <c r="S56" s="104">
        <f>N56*F56</f>
        <v>0</v>
      </c>
    </row>
    <row r="57" spans="1:19" x14ac:dyDescent="0.25">
      <c r="A57" s="132" t="s">
        <v>140</v>
      </c>
      <c r="B57" s="128" t="s">
        <v>486</v>
      </c>
      <c r="C57" s="133" t="s">
        <v>487</v>
      </c>
      <c r="D57" s="90">
        <v>1.45</v>
      </c>
      <c r="E57" s="132" t="s">
        <v>6</v>
      </c>
      <c r="F57" s="134">
        <f t="shared" si="0"/>
        <v>35.83</v>
      </c>
      <c r="G57" s="88"/>
      <c r="H57" s="88"/>
      <c r="I57" s="88"/>
      <c r="J57" s="88">
        <f>J56*D57</f>
        <v>35.83</v>
      </c>
      <c r="K57" s="88"/>
      <c r="L57" s="88"/>
      <c r="M57" s="88"/>
      <c r="N57" s="29"/>
      <c r="O57" s="29"/>
      <c r="P57" s="86">
        <f>VLOOKUP(B57,'Форма КП'!$B$27:$G$49,5,FALSE)</f>
        <v>0</v>
      </c>
      <c r="Q57" s="86">
        <f t="shared" ref="Q57" si="22">P57*F57</f>
        <v>0</v>
      </c>
      <c r="R57" s="32">
        <f t="shared" ref="R57:R59" si="23">P57</f>
        <v>0</v>
      </c>
      <c r="S57" s="32">
        <f t="shared" ref="S57" si="24">P57*F57</f>
        <v>0</v>
      </c>
    </row>
    <row r="58" spans="1:19" x14ac:dyDescent="0.25">
      <c r="A58" s="132" t="s">
        <v>141</v>
      </c>
      <c r="B58" s="128" t="s">
        <v>484</v>
      </c>
      <c r="C58" s="133" t="s">
        <v>225</v>
      </c>
      <c r="D58" s="90">
        <v>0.4</v>
      </c>
      <c r="E58" s="132" t="s">
        <v>226</v>
      </c>
      <c r="F58" s="134">
        <f t="shared" si="0"/>
        <v>9.8800000000000008</v>
      </c>
      <c r="G58" s="88"/>
      <c r="H58" s="88"/>
      <c r="I58" s="88"/>
      <c r="J58" s="88">
        <f>(12.95*2.7-1.8*2.45-2.6*2.25)*D58</f>
        <v>9.8800000000000008</v>
      </c>
      <c r="K58" s="88"/>
      <c r="L58" s="88"/>
      <c r="M58" s="88"/>
      <c r="N58" s="29"/>
      <c r="O58" s="29"/>
      <c r="P58" s="49" t="str">
        <f>VLOOKUP(B58,'Форма КП'!$B$27:$G$49,5,FALSE)</f>
        <v>Материал заказчика</v>
      </c>
      <c r="Q58" s="50"/>
      <c r="R58" s="49" t="str">
        <f t="shared" si="23"/>
        <v>Материал заказчика</v>
      </c>
      <c r="S58" s="50"/>
    </row>
    <row r="59" spans="1:19" x14ac:dyDescent="0.25">
      <c r="A59" s="132" t="s">
        <v>142</v>
      </c>
      <c r="B59" s="128" t="s">
        <v>511</v>
      </c>
      <c r="C59" s="133" t="s">
        <v>512</v>
      </c>
      <c r="D59" s="90">
        <v>16</v>
      </c>
      <c r="E59" s="132" t="s">
        <v>228</v>
      </c>
      <c r="F59" s="134">
        <f t="shared" si="0"/>
        <v>395.36</v>
      </c>
      <c r="G59" s="88"/>
      <c r="H59" s="88"/>
      <c r="I59" s="88"/>
      <c r="J59" s="88">
        <f>J56*D59</f>
        <v>395.36</v>
      </c>
      <c r="K59" s="88"/>
      <c r="L59" s="88"/>
      <c r="M59" s="88"/>
      <c r="N59" s="29"/>
      <c r="O59" s="29"/>
      <c r="P59" s="49" t="str">
        <f>VLOOKUP(B59,'Форма КП'!$B$27:$G$49,5,FALSE)</f>
        <v>Материал заказчика</v>
      </c>
      <c r="Q59" s="50"/>
      <c r="R59" s="49" t="str">
        <f t="shared" si="23"/>
        <v>Материал заказчика</v>
      </c>
      <c r="S59" s="50"/>
    </row>
    <row r="60" spans="1:19" ht="120" x14ac:dyDescent="0.25">
      <c r="A60" s="127" t="s">
        <v>143</v>
      </c>
      <c r="B60" s="128" t="s">
        <v>513</v>
      </c>
      <c r="C60" s="129" t="s">
        <v>777</v>
      </c>
      <c r="D60" s="130"/>
      <c r="E60" s="127" t="s">
        <v>224</v>
      </c>
      <c r="F60" s="131">
        <f t="shared" si="0"/>
        <v>24.71</v>
      </c>
      <c r="G60" s="114"/>
      <c r="H60" s="114"/>
      <c r="I60" s="114"/>
      <c r="J60" s="115">
        <f>J56</f>
        <v>24.71</v>
      </c>
      <c r="K60" s="114"/>
      <c r="L60" s="114"/>
      <c r="M60" s="114"/>
      <c r="N60" s="104">
        <f>VLOOKUP(B60,'Форма КП'!$B$17:$G$25,5,FALSE)</f>
        <v>0</v>
      </c>
      <c r="O60" s="104">
        <f>N60*F60</f>
        <v>0</v>
      </c>
      <c r="P60" s="104"/>
      <c r="Q60" s="104"/>
      <c r="R60" s="104">
        <f>N60</f>
        <v>0</v>
      </c>
      <c r="S60" s="104">
        <f>N60*F60</f>
        <v>0</v>
      </c>
    </row>
    <row r="61" spans="1:19" x14ac:dyDescent="0.25">
      <c r="A61" s="132" t="s">
        <v>144</v>
      </c>
      <c r="B61" s="128" t="s">
        <v>484</v>
      </c>
      <c r="C61" s="133" t="s">
        <v>225</v>
      </c>
      <c r="D61" s="90">
        <v>0.15</v>
      </c>
      <c r="E61" s="132" t="s">
        <v>226</v>
      </c>
      <c r="F61" s="134">
        <f t="shared" si="0"/>
        <v>3.71</v>
      </c>
      <c r="G61" s="88"/>
      <c r="H61" s="88"/>
      <c r="I61" s="88"/>
      <c r="J61" s="88">
        <f>J60*D61</f>
        <v>3.71</v>
      </c>
      <c r="K61" s="88"/>
      <c r="L61" s="88"/>
      <c r="M61" s="88"/>
      <c r="N61" s="29"/>
      <c r="O61" s="29"/>
      <c r="P61" s="49" t="str">
        <f>VLOOKUP(B61,'Форма КП'!$B$27:$G$49,5,FALSE)</f>
        <v>Материал заказчика</v>
      </c>
      <c r="Q61" s="50"/>
      <c r="R61" s="49" t="str">
        <f t="shared" ref="R61:R62" si="25">P61</f>
        <v>Материал заказчика</v>
      </c>
      <c r="S61" s="50"/>
    </row>
    <row r="62" spans="1:19" x14ac:dyDescent="0.25">
      <c r="A62" s="132" t="s">
        <v>145</v>
      </c>
      <c r="B62" s="128" t="s">
        <v>514</v>
      </c>
      <c r="C62" s="133" t="s">
        <v>515</v>
      </c>
      <c r="D62" s="90">
        <v>5</v>
      </c>
      <c r="E62" s="132" t="s">
        <v>228</v>
      </c>
      <c r="F62" s="134">
        <f t="shared" si="0"/>
        <v>123.55</v>
      </c>
      <c r="G62" s="88"/>
      <c r="H62" s="88"/>
      <c r="I62" s="88"/>
      <c r="J62" s="88">
        <f>J60*D62</f>
        <v>123.55</v>
      </c>
      <c r="K62" s="88"/>
      <c r="L62" s="88"/>
      <c r="M62" s="88"/>
      <c r="N62" s="29"/>
      <c r="O62" s="29"/>
      <c r="P62" s="49" t="str">
        <f>VLOOKUP(B62,'Форма КП'!$B$27:$G$49,5,FALSE)</f>
        <v>Материал заказчика</v>
      </c>
      <c r="Q62" s="50"/>
      <c r="R62" s="49" t="str">
        <f t="shared" si="25"/>
        <v>Материал заказчика</v>
      </c>
      <c r="S62" s="50"/>
    </row>
    <row r="63" spans="1:19" ht="108" x14ac:dyDescent="0.25">
      <c r="A63" s="127" t="s">
        <v>146</v>
      </c>
      <c r="B63" s="128" t="s">
        <v>505</v>
      </c>
      <c r="C63" s="129" t="s">
        <v>779</v>
      </c>
      <c r="D63" s="130"/>
      <c r="E63" s="127" t="s">
        <v>224</v>
      </c>
      <c r="F63" s="131">
        <f t="shared" si="0"/>
        <v>24.71</v>
      </c>
      <c r="G63" s="113"/>
      <c r="H63" s="113"/>
      <c r="I63" s="113"/>
      <c r="J63" s="115">
        <f>J56</f>
        <v>24.71</v>
      </c>
      <c r="K63" s="113"/>
      <c r="L63" s="113"/>
      <c r="M63" s="113"/>
      <c r="N63" s="104">
        <f>VLOOKUP(B63,'Форма КП'!$B$17:$G$25,5,FALSE)</f>
        <v>0</v>
      </c>
      <c r="O63" s="104">
        <f>N63*F63</f>
        <v>0</v>
      </c>
      <c r="P63" s="104"/>
      <c r="Q63" s="104"/>
      <c r="R63" s="104">
        <f>N63</f>
        <v>0</v>
      </c>
      <c r="S63" s="104">
        <f>N63*F63</f>
        <v>0</v>
      </c>
    </row>
    <row r="64" spans="1:19" x14ac:dyDescent="0.25">
      <c r="A64" s="132" t="s">
        <v>147</v>
      </c>
      <c r="B64" s="128" t="s">
        <v>484</v>
      </c>
      <c r="C64" s="133" t="s">
        <v>225</v>
      </c>
      <c r="D64" s="90">
        <v>0.15</v>
      </c>
      <c r="E64" s="132" t="s">
        <v>226</v>
      </c>
      <c r="F64" s="134">
        <f t="shared" si="0"/>
        <v>3.71</v>
      </c>
      <c r="G64" s="88"/>
      <c r="H64" s="88"/>
      <c r="I64" s="88"/>
      <c r="J64" s="88">
        <f>J63*D64</f>
        <v>3.71</v>
      </c>
      <c r="K64" s="88"/>
      <c r="L64" s="88"/>
      <c r="M64" s="88"/>
      <c r="N64" s="29"/>
      <c r="O64" s="29"/>
      <c r="P64" s="49" t="str">
        <f>VLOOKUP(B64,'Форма КП'!$B$27:$G$49,5,FALSE)</f>
        <v>Материал заказчика</v>
      </c>
      <c r="Q64" s="50"/>
      <c r="R64" s="49" t="str">
        <f t="shared" ref="R64:R65" si="26">P64</f>
        <v>Материал заказчика</v>
      </c>
      <c r="S64" s="50"/>
    </row>
    <row r="65" spans="1:19" ht="24" x14ac:dyDescent="0.25">
      <c r="A65" s="132" t="s">
        <v>148</v>
      </c>
      <c r="B65" s="128" t="s">
        <v>516</v>
      </c>
      <c r="C65" s="133" t="s">
        <v>517</v>
      </c>
      <c r="D65" s="90">
        <v>0.25</v>
      </c>
      <c r="E65" s="132" t="s">
        <v>226</v>
      </c>
      <c r="F65" s="134">
        <f t="shared" si="0"/>
        <v>6.18</v>
      </c>
      <c r="G65" s="88"/>
      <c r="H65" s="88"/>
      <c r="I65" s="88"/>
      <c r="J65" s="88">
        <f>J63*D65</f>
        <v>6.18</v>
      </c>
      <c r="K65" s="88"/>
      <c r="L65" s="88"/>
      <c r="M65" s="88"/>
      <c r="N65" s="29"/>
      <c r="O65" s="29"/>
      <c r="P65" s="49" t="str">
        <f>VLOOKUP(B65,'Форма КП'!$B$27:$G$49,5,FALSE)</f>
        <v>Материал заказчика</v>
      </c>
      <c r="Q65" s="50"/>
      <c r="R65" s="49" t="str">
        <f t="shared" si="26"/>
        <v>Материал заказчика</v>
      </c>
      <c r="S65" s="50"/>
    </row>
    <row r="66" spans="1:19" ht="108" x14ac:dyDescent="0.25">
      <c r="A66" s="127" t="s">
        <v>149</v>
      </c>
      <c r="B66" s="128" t="s">
        <v>518</v>
      </c>
      <c r="C66" s="129" t="s">
        <v>781</v>
      </c>
      <c r="D66" s="130"/>
      <c r="E66" s="127" t="s">
        <v>224</v>
      </c>
      <c r="F66" s="131">
        <f t="shared" si="0"/>
        <v>16.920000000000002</v>
      </c>
      <c r="G66" s="113"/>
      <c r="H66" s="113"/>
      <c r="I66" s="113"/>
      <c r="J66" s="113">
        <f>7.9*2.7-1.8*2.45</f>
        <v>16.920000000000002</v>
      </c>
      <c r="K66" s="113"/>
      <c r="L66" s="113"/>
      <c r="M66" s="113"/>
      <c r="N66" s="104">
        <f>VLOOKUP(B66,'Форма КП'!$B$17:$G$25,5,FALSE)</f>
        <v>0</v>
      </c>
      <c r="O66" s="104">
        <f>N66*F66</f>
        <v>0</v>
      </c>
      <c r="P66" s="104"/>
      <c r="Q66" s="104"/>
      <c r="R66" s="104">
        <f>N66</f>
        <v>0</v>
      </c>
      <c r="S66" s="104">
        <f>N66*F66</f>
        <v>0</v>
      </c>
    </row>
    <row r="67" spans="1:19" x14ac:dyDescent="0.25">
      <c r="A67" s="132" t="s">
        <v>150</v>
      </c>
      <c r="B67" s="128" t="s">
        <v>519</v>
      </c>
      <c r="C67" s="133" t="s">
        <v>520</v>
      </c>
      <c r="D67" s="90">
        <v>5.1499999999999997E-2</v>
      </c>
      <c r="E67" s="132" t="s">
        <v>231</v>
      </c>
      <c r="F67" s="135">
        <f t="shared" si="0"/>
        <v>0.871</v>
      </c>
      <c r="G67" s="89"/>
      <c r="H67" s="89"/>
      <c r="I67" s="89"/>
      <c r="J67" s="89">
        <f>J66*D67</f>
        <v>0.871</v>
      </c>
      <c r="K67" s="89"/>
      <c r="L67" s="89"/>
      <c r="M67" s="89"/>
      <c r="N67" s="29"/>
      <c r="O67" s="29"/>
      <c r="P67" s="86">
        <f>VLOOKUP(B67,'Форма КП'!$B$27:$G$49,5,FALSE)</f>
        <v>0</v>
      </c>
      <c r="Q67" s="86">
        <f t="shared" ref="Q67" si="27">P67*F67</f>
        <v>0</v>
      </c>
      <c r="R67" s="32">
        <f t="shared" ref="R67" si="28">P67</f>
        <v>0</v>
      </c>
      <c r="S67" s="32">
        <f t="shared" ref="S67" si="29">P67*F67</f>
        <v>0</v>
      </c>
    </row>
    <row r="68" spans="1:19" ht="264" x14ac:dyDescent="0.25">
      <c r="A68" s="127" t="s">
        <v>151</v>
      </c>
      <c r="B68" s="128" t="s">
        <v>474</v>
      </c>
      <c r="C68" s="129" t="s">
        <v>782</v>
      </c>
      <c r="D68" s="130"/>
      <c r="E68" s="127" t="s">
        <v>224</v>
      </c>
      <c r="F68" s="131">
        <f t="shared" si="0"/>
        <v>16.920000000000002</v>
      </c>
      <c r="G68" s="113"/>
      <c r="H68" s="113"/>
      <c r="I68" s="113"/>
      <c r="J68" s="113">
        <f>7.9*2.7-1.8*2.45</f>
        <v>16.920000000000002</v>
      </c>
      <c r="K68" s="113"/>
      <c r="L68" s="113"/>
      <c r="M68" s="113"/>
      <c r="N68" s="104">
        <f>VLOOKUP(B68,'Форма КП'!$B$17:$G$25,5,FALSE)</f>
        <v>0</v>
      </c>
      <c r="O68" s="104">
        <f>N68*F68</f>
        <v>0</v>
      </c>
      <c r="P68" s="104"/>
      <c r="Q68" s="104"/>
      <c r="R68" s="104">
        <f>N68</f>
        <v>0</v>
      </c>
      <c r="S68" s="104">
        <f>N68*F68</f>
        <v>0</v>
      </c>
    </row>
    <row r="69" spans="1:19" x14ac:dyDescent="0.25">
      <c r="A69" s="132" t="s">
        <v>152</v>
      </c>
      <c r="B69" s="128" t="s">
        <v>475</v>
      </c>
      <c r="C69" s="133" t="s">
        <v>476</v>
      </c>
      <c r="D69" s="90">
        <v>2.25</v>
      </c>
      <c r="E69" s="132" t="s">
        <v>224</v>
      </c>
      <c r="F69" s="134">
        <f t="shared" si="0"/>
        <v>38.07</v>
      </c>
      <c r="G69" s="88">
        <f>G68*D69</f>
        <v>0</v>
      </c>
      <c r="H69" s="88">
        <f>H68*D69</f>
        <v>0</v>
      </c>
      <c r="I69" s="88">
        <f>I68*D69</f>
        <v>0</v>
      </c>
      <c r="J69" s="88">
        <f>J68*D69</f>
        <v>38.07</v>
      </c>
      <c r="K69" s="88">
        <f>K68*D69</f>
        <v>0</v>
      </c>
      <c r="L69" s="88">
        <f>L68*D69</f>
        <v>0</v>
      </c>
      <c r="M69" s="88">
        <f>M68*D69</f>
        <v>0</v>
      </c>
      <c r="N69" s="29"/>
      <c r="O69" s="29"/>
      <c r="P69" s="86">
        <f>VLOOKUP(B69,'Форма КП'!$B$27:$G$49,5,FALSE)</f>
        <v>0</v>
      </c>
      <c r="Q69" s="86">
        <f t="shared" ref="Q69:Q71" si="30">P69*F69</f>
        <v>0</v>
      </c>
      <c r="R69" s="32">
        <f t="shared" ref="R69:R71" si="31">P69</f>
        <v>0</v>
      </c>
      <c r="S69" s="32">
        <f t="shared" ref="S69:S71" si="32">P69*F69</f>
        <v>0</v>
      </c>
    </row>
    <row r="70" spans="1:19" x14ac:dyDescent="0.25">
      <c r="A70" s="132" t="s">
        <v>153</v>
      </c>
      <c r="B70" s="128" t="s">
        <v>477</v>
      </c>
      <c r="C70" s="133" t="s">
        <v>478</v>
      </c>
      <c r="D70" s="90">
        <v>0.86</v>
      </c>
      <c r="E70" s="132" t="s">
        <v>6</v>
      </c>
      <c r="F70" s="134">
        <f t="shared" si="0"/>
        <v>14.55</v>
      </c>
      <c r="G70" s="88">
        <f>G68*D70</f>
        <v>0</v>
      </c>
      <c r="H70" s="88">
        <f>H68*D70</f>
        <v>0</v>
      </c>
      <c r="I70" s="88">
        <f>I68*D70</f>
        <v>0</v>
      </c>
      <c r="J70" s="88">
        <f>J68*D70</f>
        <v>14.55</v>
      </c>
      <c r="K70" s="88">
        <f>K68*D70</f>
        <v>0</v>
      </c>
      <c r="L70" s="88">
        <f>L68*D70</f>
        <v>0</v>
      </c>
      <c r="M70" s="88">
        <f>M68*D70</f>
        <v>0</v>
      </c>
      <c r="N70" s="29"/>
      <c r="O70" s="29"/>
      <c r="P70" s="86">
        <f>VLOOKUP(B70,'Форма КП'!$B$27:$G$49,5,FALSE)</f>
        <v>0</v>
      </c>
      <c r="Q70" s="86">
        <f t="shared" si="30"/>
        <v>0</v>
      </c>
      <c r="R70" s="32">
        <f t="shared" si="31"/>
        <v>0</v>
      </c>
      <c r="S70" s="32">
        <f t="shared" si="32"/>
        <v>0</v>
      </c>
    </row>
    <row r="71" spans="1:19" x14ac:dyDescent="0.25">
      <c r="A71" s="132" t="s">
        <v>154</v>
      </c>
      <c r="B71" s="128" t="s">
        <v>479</v>
      </c>
      <c r="C71" s="133" t="s">
        <v>480</v>
      </c>
      <c r="D71" s="90">
        <v>2.34</v>
      </c>
      <c r="E71" s="132" t="s">
        <v>6</v>
      </c>
      <c r="F71" s="134">
        <f t="shared" si="0"/>
        <v>39.590000000000003</v>
      </c>
      <c r="G71" s="88">
        <f>G68*D71</f>
        <v>0</v>
      </c>
      <c r="H71" s="88">
        <f>H68*D71</f>
        <v>0</v>
      </c>
      <c r="I71" s="88">
        <f>I68*D71</f>
        <v>0</v>
      </c>
      <c r="J71" s="88">
        <f>J68*D71</f>
        <v>39.590000000000003</v>
      </c>
      <c r="K71" s="88">
        <f>K68*D71</f>
        <v>0</v>
      </c>
      <c r="L71" s="88">
        <f>L68*D71</f>
        <v>0</v>
      </c>
      <c r="M71" s="88">
        <f>M68*D71</f>
        <v>0</v>
      </c>
      <c r="N71" s="29"/>
      <c r="O71" s="29"/>
      <c r="P71" s="86">
        <f>VLOOKUP(B71,'Форма КП'!$B$27:$G$49,5,FALSE)</f>
        <v>0</v>
      </c>
      <c r="Q71" s="86">
        <f t="shared" si="30"/>
        <v>0</v>
      </c>
      <c r="R71" s="32">
        <f t="shared" si="31"/>
        <v>0</v>
      </c>
      <c r="S71" s="32">
        <f t="shared" si="32"/>
        <v>0</v>
      </c>
    </row>
    <row r="72" spans="1:19" x14ac:dyDescent="0.25">
      <c r="A72" s="119" t="s">
        <v>230</v>
      </c>
      <c r="B72" s="120"/>
      <c r="C72" s="121"/>
      <c r="D72" s="122"/>
      <c r="E72" s="123"/>
      <c r="F72" s="124"/>
      <c r="G72" s="125"/>
      <c r="H72" s="125"/>
      <c r="I72" s="125"/>
      <c r="J72" s="125"/>
      <c r="K72" s="125"/>
      <c r="L72" s="125"/>
      <c r="M72" s="125"/>
      <c r="N72" s="33"/>
      <c r="O72" s="33"/>
      <c r="P72" s="33"/>
      <c r="Q72" s="33"/>
      <c r="R72" s="33"/>
      <c r="S72" s="31"/>
    </row>
    <row r="73" spans="1:19" x14ac:dyDescent="0.25">
      <c r="A73" s="126" t="s">
        <v>223</v>
      </c>
      <c r="B73" s="120"/>
      <c r="C73" s="121"/>
      <c r="D73" s="122"/>
      <c r="E73" s="123"/>
      <c r="F73" s="124"/>
      <c r="G73" s="125"/>
      <c r="H73" s="125"/>
      <c r="I73" s="125"/>
      <c r="J73" s="125"/>
      <c r="K73" s="125"/>
      <c r="L73" s="125"/>
      <c r="M73" s="125"/>
      <c r="N73" s="33"/>
      <c r="O73" s="33"/>
      <c r="P73" s="33"/>
      <c r="Q73" s="33"/>
      <c r="R73" s="33"/>
      <c r="S73" s="31"/>
    </row>
    <row r="74" spans="1:19" ht="216" x14ac:dyDescent="0.25">
      <c r="A74" s="127" t="s">
        <v>155</v>
      </c>
      <c r="B74" s="128" t="s">
        <v>510</v>
      </c>
      <c r="C74" s="129" t="s">
        <v>776</v>
      </c>
      <c r="D74" s="130"/>
      <c r="E74" s="127" t="s">
        <v>224</v>
      </c>
      <c r="F74" s="131">
        <f t="shared" ref="F74:F134" si="33">SUM(G74:M74)</f>
        <v>992.74</v>
      </c>
      <c r="G74" s="113">
        <f>(70.55-2)*3-11.48*2.1-6.6*2.31</f>
        <v>166.3</v>
      </c>
      <c r="H74" s="113">
        <f>(55.87-2)*3-12.1*2.1</f>
        <v>136.19999999999999</v>
      </c>
      <c r="I74" s="113">
        <f>(55.87-2)*3-12.1*2.1</f>
        <v>136.19999999999999</v>
      </c>
      <c r="J74" s="113">
        <f>(65.65-2)*3-16.81*2.1</f>
        <v>155.65</v>
      </c>
      <c r="K74" s="113">
        <f>(55.87-2)*3-12.1*2.1</f>
        <v>136.19999999999999</v>
      </c>
      <c r="L74" s="113">
        <f>(53.6-2)*3-13.29*2.1</f>
        <v>126.89</v>
      </c>
      <c r="M74" s="113">
        <f>(55.08-2)*3-11.4*2.1</f>
        <v>135.30000000000001</v>
      </c>
      <c r="N74" s="104">
        <f>VLOOKUP(B74,'Форма КП'!$B$17:$G$25,5,FALSE)</f>
        <v>0</v>
      </c>
      <c r="O74" s="104">
        <f>N74*F74</f>
        <v>0</v>
      </c>
      <c r="P74" s="104"/>
      <c r="Q74" s="104"/>
      <c r="R74" s="104">
        <f>N74</f>
        <v>0</v>
      </c>
      <c r="S74" s="104">
        <f>N74*F74</f>
        <v>0</v>
      </c>
    </row>
    <row r="75" spans="1:19" x14ac:dyDescent="0.25">
      <c r="A75" s="132" t="s">
        <v>156</v>
      </c>
      <c r="B75" s="128" t="s">
        <v>486</v>
      </c>
      <c r="C75" s="133" t="s">
        <v>487</v>
      </c>
      <c r="D75" s="90">
        <v>1.45</v>
      </c>
      <c r="E75" s="132" t="s">
        <v>6</v>
      </c>
      <c r="F75" s="134">
        <f t="shared" si="33"/>
        <v>1439.48</v>
      </c>
      <c r="G75" s="88">
        <f>G74*D75</f>
        <v>241.14</v>
      </c>
      <c r="H75" s="88">
        <f>H74*D75</f>
        <v>197.49</v>
      </c>
      <c r="I75" s="88">
        <f>I74*D75</f>
        <v>197.49</v>
      </c>
      <c r="J75" s="88">
        <f>J74*D75</f>
        <v>225.69</v>
      </c>
      <c r="K75" s="88">
        <f>K74*D75</f>
        <v>197.49</v>
      </c>
      <c r="L75" s="88">
        <f>L74*D75</f>
        <v>183.99</v>
      </c>
      <c r="M75" s="88">
        <f>M74*D75</f>
        <v>196.19</v>
      </c>
      <c r="N75" s="29"/>
      <c r="O75" s="29"/>
      <c r="P75" s="86">
        <f>VLOOKUP(B75,'Форма КП'!$B$27:$G$49,5,FALSE)</f>
        <v>0</v>
      </c>
      <c r="Q75" s="86">
        <f t="shared" ref="Q75" si="34">P75*F75</f>
        <v>0</v>
      </c>
      <c r="R75" s="32">
        <f t="shared" ref="R75:R77" si="35">P75</f>
        <v>0</v>
      </c>
      <c r="S75" s="32">
        <f t="shared" ref="S75" si="36">P75*F75</f>
        <v>0</v>
      </c>
    </row>
    <row r="76" spans="1:19" x14ac:dyDescent="0.25">
      <c r="A76" s="132" t="s">
        <v>157</v>
      </c>
      <c r="B76" s="128" t="s">
        <v>488</v>
      </c>
      <c r="C76" s="133" t="s">
        <v>489</v>
      </c>
      <c r="D76" s="90">
        <v>0.2</v>
      </c>
      <c r="E76" s="132" t="s">
        <v>228</v>
      </c>
      <c r="F76" s="134">
        <f t="shared" si="33"/>
        <v>199.75</v>
      </c>
      <c r="G76" s="106">
        <f>((70.55-2)*3-11.48*2.1-6.6*2.31)*D76</f>
        <v>33.26</v>
      </c>
      <c r="H76" s="88">
        <f>((55.87-2)*3-12.1*2.1)*D76</f>
        <v>27.24</v>
      </c>
      <c r="I76" s="88">
        <f>((55.87-2)*3-12.1*2.1)*D76</f>
        <v>27.24</v>
      </c>
      <c r="J76" s="88">
        <f>((65.65-2)*3-16.81*2.1)*D76</f>
        <v>31.13</v>
      </c>
      <c r="K76" s="88">
        <f>((55.87-2)*3-12.1*2.1)*D76</f>
        <v>27.24</v>
      </c>
      <c r="L76" s="88">
        <f>(53.6*3-13.29*2.1)*D76</f>
        <v>26.58</v>
      </c>
      <c r="M76" s="88">
        <f>((55.08-2)*3-11.4*2.1)*D76</f>
        <v>27.06</v>
      </c>
      <c r="N76" s="29"/>
      <c r="O76" s="29"/>
      <c r="P76" s="49" t="str">
        <f>VLOOKUP(B76,'Форма КП'!$B$27:$G$49,5,FALSE)</f>
        <v>Материал заказчика</v>
      </c>
      <c r="Q76" s="50"/>
      <c r="R76" s="49" t="str">
        <f t="shared" si="35"/>
        <v>Материал заказчика</v>
      </c>
      <c r="S76" s="50"/>
    </row>
    <row r="77" spans="1:19" x14ac:dyDescent="0.25">
      <c r="A77" s="132" t="s">
        <v>158</v>
      </c>
      <c r="B77" s="128" t="s">
        <v>511</v>
      </c>
      <c r="C77" s="133" t="s">
        <v>512</v>
      </c>
      <c r="D77" s="90">
        <v>16</v>
      </c>
      <c r="E77" s="132" t="s">
        <v>228</v>
      </c>
      <c r="F77" s="134">
        <f t="shared" si="33"/>
        <v>15883.84</v>
      </c>
      <c r="G77" s="88">
        <f>G74*D77</f>
        <v>2660.8</v>
      </c>
      <c r="H77" s="88">
        <f>H74*D77</f>
        <v>2179.1999999999998</v>
      </c>
      <c r="I77" s="88">
        <f>I74*D77</f>
        <v>2179.1999999999998</v>
      </c>
      <c r="J77" s="88">
        <f>J74*D77</f>
        <v>2490.4</v>
      </c>
      <c r="K77" s="88">
        <f>K74*D77</f>
        <v>2179.1999999999998</v>
      </c>
      <c r="L77" s="88">
        <f>L74*D77</f>
        <v>2030.24</v>
      </c>
      <c r="M77" s="88">
        <f>M74*D77</f>
        <v>2164.8000000000002</v>
      </c>
      <c r="N77" s="29"/>
      <c r="O77" s="29"/>
      <c r="P77" s="49" t="str">
        <f>VLOOKUP(B77,'Форма КП'!$B$27:$G$49,5,FALSE)</f>
        <v>Материал заказчика</v>
      </c>
      <c r="Q77" s="50"/>
      <c r="R77" s="49" t="str">
        <f t="shared" si="35"/>
        <v>Материал заказчика</v>
      </c>
      <c r="S77" s="50"/>
    </row>
    <row r="78" spans="1:19" ht="216" x14ac:dyDescent="0.25">
      <c r="A78" s="127" t="s">
        <v>159</v>
      </c>
      <c r="B78" s="128" t="s">
        <v>510</v>
      </c>
      <c r="C78" s="129" t="s">
        <v>776</v>
      </c>
      <c r="D78" s="130"/>
      <c r="E78" s="127" t="s">
        <v>224</v>
      </c>
      <c r="F78" s="131">
        <f t="shared" si="33"/>
        <v>982.42</v>
      </c>
      <c r="G78" s="116">
        <f>34.6*3-1.2*2.1+(13.15*3)-2.27*1.74</f>
        <v>136.78</v>
      </c>
      <c r="H78" s="116">
        <f>36.37*3-4.1*2.1+19.16*3-2.27*1.44-2.1*0.8</f>
        <v>153.03</v>
      </c>
      <c r="I78" s="116">
        <f>36.37*3-4.1*2.1+19.16*3-2.27*1.44-2.1*0.8</f>
        <v>153.03</v>
      </c>
      <c r="J78" s="116">
        <f>35.05*3-4.39*2.1</f>
        <v>95.93</v>
      </c>
      <c r="K78" s="116">
        <f>36.37*3-2.8*2.1+19.16*3-2.27*1.44-2.1*0.8</f>
        <v>155.76</v>
      </c>
      <c r="L78" s="116">
        <f>37.92*3-6.5*2.1+(13.15*3)-2.27*1.74</f>
        <v>135.61000000000001</v>
      </c>
      <c r="M78" s="116">
        <f>36.61*3-4.8*2.1+19.16*3-2.27*1.44-2.1*0.8</f>
        <v>152.28</v>
      </c>
      <c r="N78" s="104">
        <f>VLOOKUP(B78,'Форма КП'!$B$17:$G$25,5,FALSE)</f>
        <v>0</v>
      </c>
      <c r="O78" s="104">
        <f>N78*F78</f>
        <v>0</v>
      </c>
      <c r="P78" s="104"/>
      <c r="Q78" s="104"/>
      <c r="R78" s="104">
        <f>N78</f>
        <v>0</v>
      </c>
      <c r="S78" s="104">
        <f>N78*F78</f>
        <v>0</v>
      </c>
    </row>
    <row r="79" spans="1:19" x14ac:dyDescent="0.25">
      <c r="A79" s="132" t="s">
        <v>160</v>
      </c>
      <c r="B79" s="128" t="s">
        <v>486</v>
      </c>
      <c r="C79" s="133" t="s">
        <v>487</v>
      </c>
      <c r="D79" s="107">
        <v>1.45</v>
      </c>
      <c r="E79" s="132" t="s">
        <v>6</v>
      </c>
      <c r="F79" s="134">
        <f t="shared" si="33"/>
        <v>1424.5</v>
      </c>
      <c r="G79" s="106">
        <f>G78*D79</f>
        <v>198.33</v>
      </c>
      <c r="H79" s="106">
        <f>H78*D79</f>
        <v>221.89</v>
      </c>
      <c r="I79" s="106">
        <f>I78*D79</f>
        <v>221.89</v>
      </c>
      <c r="J79" s="106">
        <f>J78*D79</f>
        <v>139.1</v>
      </c>
      <c r="K79" s="106">
        <f>K78*D79</f>
        <v>225.85</v>
      </c>
      <c r="L79" s="106">
        <f>L78*D79</f>
        <v>196.63</v>
      </c>
      <c r="M79" s="106">
        <f>M78*D79</f>
        <v>220.81</v>
      </c>
      <c r="N79" s="29"/>
      <c r="O79" s="29"/>
      <c r="P79" s="86">
        <f>VLOOKUP(B79,'Форма КП'!$B$27:$G$49,5,FALSE)</f>
        <v>0</v>
      </c>
      <c r="Q79" s="86">
        <f t="shared" ref="Q79" si="37">P79*F79</f>
        <v>0</v>
      </c>
      <c r="R79" s="32">
        <f t="shared" ref="R79:R81" si="38">P79</f>
        <v>0</v>
      </c>
      <c r="S79" s="32">
        <f t="shared" ref="S79" si="39">P79*F79</f>
        <v>0</v>
      </c>
    </row>
    <row r="80" spans="1:19" x14ac:dyDescent="0.25">
      <c r="A80" s="132" t="s">
        <v>161</v>
      </c>
      <c r="B80" s="128" t="s">
        <v>484</v>
      </c>
      <c r="C80" s="133" t="s">
        <v>225</v>
      </c>
      <c r="D80" s="107">
        <v>0.4</v>
      </c>
      <c r="E80" s="132" t="s">
        <v>226</v>
      </c>
      <c r="F80" s="134">
        <f t="shared" si="33"/>
        <v>280.51</v>
      </c>
      <c r="G80" s="106">
        <f>(34.6*3-1.2*2.1)*D80</f>
        <v>40.51</v>
      </c>
      <c r="H80" s="106">
        <f>(36.37*3-4.1*2.1)*D80</f>
        <v>40.200000000000003</v>
      </c>
      <c r="I80" s="106">
        <f>(36.37*3-4.1*2.1)*D80</f>
        <v>40.200000000000003</v>
      </c>
      <c r="J80" s="106">
        <f>(35.05*3-4.39*2.1)*D80</f>
        <v>38.369999999999997</v>
      </c>
      <c r="K80" s="106">
        <f>(36.37*3-2.8*2.1)*D80</f>
        <v>41.29</v>
      </c>
      <c r="L80" s="106">
        <f>(37.92*3-6.5*2.1)*D80</f>
        <v>40.04</v>
      </c>
      <c r="M80" s="106">
        <f>(36.61*3-4.8*2.1)*D80</f>
        <v>39.9</v>
      </c>
      <c r="N80" s="29"/>
      <c r="O80" s="29"/>
      <c r="P80" s="49" t="str">
        <f>VLOOKUP(B80,'Форма КП'!$B$27:$G$49,5,FALSE)</f>
        <v>Материал заказчика</v>
      </c>
      <c r="Q80" s="50"/>
      <c r="R80" s="49" t="str">
        <f t="shared" si="38"/>
        <v>Материал заказчика</v>
      </c>
      <c r="S80" s="50"/>
    </row>
    <row r="81" spans="1:19" x14ac:dyDescent="0.25">
      <c r="A81" s="132" t="s">
        <v>162</v>
      </c>
      <c r="B81" s="128" t="s">
        <v>511</v>
      </c>
      <c r="C81" s="133" t="s">
        <v>512</v>
      </c>
      <c r="D81" s="107">
        <v>16</v>
      </c>
      <c r="E81" s="132" t="s">
        <v>228</v>
      </c>
      <c r="F81" s="134">
        <f t="shared" si="33"/>
        <v>15718.72</v>
      </c>
      <c r="G81" s="106">
        <f>G78*D81</f>
        <v>2188.48</v>
      </c>
      <c r="H81" s="106">
        <f>H78*D81</f>
        <v>2448.48</v>
      </c>
      <c r="I81" s="106">
        <f>I78*D81</f>
        <v>2448.48</v>
      </c>
      <c r="J81" s="106">
        <f>J78*D81</f>
        <v>1534.88</v>
      </c>
      <c r="K81" s="106">
        <f>K78*D81</f>
        <v>2492.16</v>
      </c>
      <c r="L81" s="106">
        <f>L78*D81</f>
        <v>2169.7600000000002</v>
      </c>
      <c r="M81" s="106">
        <f>M78*D81</f>
        <v>2436.48</v>
      </c>
      <c r="N81" s="29"/>
      <c r="O81" s="29"/>
      <c r="P81" s="49" t="str">
        <f>VLOOKUP(B81,'Форма КП'!$B$27:$G$49,5,FALSE)</f>
        <v>Материал заказчика</v>
      </c>
      <c r="Q81" s="50"/>
      <c r="R81" s="49" t="str">
        <f t="shared" si="38"/>
        <v>Материал заказчика</v>
      </c>
      <c r="S81" s="50"/>
    </row>
    <row r="82" spans="1:19" ht="120" x14ac:dyDescent="0.25">
      <c r="A82" s="127" t="s">
        <v>163</v>
      </c>
      <c r="B82" s="128" t="s">
        <v>513</v>
      </c>
      <c r="C82" s="129" t="s">
        <v>777</v>
      </c>
      <c r="D82" s="130"/>
      <c r="E82" s="127" t="s">
        <v>224</v>
      </c>
      <c r="F82" s="131">
        <f t="shared" si="33"/>
        <v>1008.27</v>
      </c>
      <c r="G82" s="117">
        <f>(68.21-2)*3-18.88*2.1</f>
        <v>158.97999999999999</v>
      </c>
      <c r="H82" s="117">
        <f>(55.35-2)*3-10.6*2.1</f>
        <v>137.79</v>
      </c>
      <c r="I82" s="117">
        <f>(55.35-2)*3-10.6*2.1</f>
        <v>137.79</v>
      </c>
      <c r="J82" s="117">
        <f>(72.63-2)*3-18.4*2.1</f>
        <v>173.25</v>
      </c>
      <c r="K82" s="117">
        <f>(55.35-2)*3-10.6*2.1</f>
        <v>137.79</v>
      </c>
      <c r="L82" s="117">
        <f>(54.35-2)*3-13.89*2.1</f>
        <v>127.88</v>
      </c>
      <c r="M82" s="117">
        <f>(54.35-2)*3-10.6*2.1</f>
        <v>134.79</v>
      </c>
      <c r="N82" s="104">
        <f>VLOOKUP(B82,'Форма КП'!$B$17:$G$25,5,FALSE)</f>
        <v>0</v>
      </c>
      <c r="O82" s="104">
        <f>N82*F82</f>
        <v>0</v>
      </c>
      <c r="P82" s="104"/>
      <c r="Q82" s="104"/>
      <c r="R82" s="104">
        <f>N82</f>
        <v>0</v>
      </c>
      <c r="S82" s="104">
        <f>N82*F82</f>
        <v>0</v>
      </c>
    </row>
    <row r="83" spans="1:19" x14ac:dyDescent="0.25">
      <c r="A83" s="132" t="s">
        <v>164</v>
      </c>
      <c r="B83" s="128" t="s">
        <v>484</v>
      </c>
      <c r="C83" s="133" t="s">
        <v>225</v>
      </c>
      <c r="D83" s="90">
        <v>0.15</v>
      </c>
      <c r="E83" s="132" t="s">
        <v>226</v>
      </c>
      <c r="F83" s="134">
        <f t="shared" si="33"/>
        <v>151.25</v>
      </c>
      <c r="G83" s="88">
        <f>G82*D83</f>
        <v>23.85</v>
      </c>
      <c r="H83" s="88">
        <f>H82*D83</f>
        <v>20.67</v>
      </c>
      <c r="I83" s="88">
        <f>I82*D83</f>
        <v>20.67</v>
      </c>
      <c r="J83" s="88">
        <f>J82*D83</f>
        <v>25.99</v>
      </c>
      <c r="K83" s="88">
        <f>K82*D83</f>
        <v>20.67</v>
      </c>
      <c r="L83" s="88">
        <f>L82*D83</f>
        <v>19.18</v>
      </c>
      <c r="M83" s="88">
        <f>M82*D83</f>
        <v>20.22</v>
      </c>
      <c r="N83" s="29"/>
      <c r="O83" s="29"/>
      <c r="P83" s="49" t="str">
        <f>VLOOKUP(B83,'Форма КП'!$B$27:$G$49,5,FALSE)</f>
        <v>Материал заказчика</v>
      </c>
      <c r="Q83" s="50"/>
      <c r="R83" s="49" t="str">
        <f t="shared" ref="R83:R84" si="40">P83</f>
        <v>Материал заказчика</v>
      </c>
      <c r="S83" s="50"/>
    </row>
    <row r="84" spans="1:19" x14ac:dyDescent="0.25">
      <c r="A84" s="132" t="s">
        <v>165</v>
      </c>
      <c r="B84" s="128" t="s">
        <v>514</v>
      </c>
      <c r="C84" s="133" t="s">
        <v>515</v>
      </c>
      <c r="D84" s="90">
        <v>5</v>
      </c>
      <c r="E84" s="132" t="s">
        <v>228</v>
      </c>
      <c r="F84" s="134">
        <f t="shared" si="33"/>
        <v>5041.3500000000004</v>
      </c>
      <c r="G84" s="88">
        <f>G82*D84</f>
        <v>794.9</v>
      </c>
      <c r="H84" s="88">
        <f>H82*D84</f>
        <v>688.95</v>
      </c>
      <c r="I84" s="88">
        <f>I82*D84</f>
        <v>688.95</v>
      </c>
      <c r="J84" s="88">
        <f>J82*D84</f>
        <v>866.25</v>
      </c>
      <c r="K84" s="88">
        <f>K82*D84</f>
        <v>688.95</v>
      </c>
      <c r="L84" s="88">
        <f>L82*D84</f>
        <v>639.4</v>
      </c>
      <c r="M84" s="88">
        <f>M82*D84</f>
        <v>673.95</v>
      </c>
      <c r="N84" s="29"/>
      <c r="O84" s="29"/>
      <c r="P84" s="49" t="str">
        <f>VLOOKUP(B84,'Форма КП'!$B$27:$G$49,5,FALSE)</f>
        <v>Материал заказчика</v>
      </c>
      <c r="Q84" s="50"/>
      <c r="R84" s="49" t="str">
        <f t="shared" si="40"/>
        <v>Материал заказчика</v>
      </c>
      <c r="S84" s="50"/>
    </row>
    <row r="85" spans="1:19" ht="156" x14ac:dyDescent="0.25">
      <c r="A85" s="127" t="s">
        <v>166</v>
      </c>
      <c r="B85" s="128" t="s">
        <v>493</v>
      </c>
      <c r="C85" s="129" t="s">
        <v>780</v>
      </c>
      <c r="D85" s="130"/>
      <c r="E85" s="127" t="s">
        <v>224</v>
      </c>
      <c r="F85" s="131">
        <f t="shared" si="33"/>
        <v>555.72</v>
      </c>
      <c r="G85" s="113">
        <f>21.17*3+1.3-2.28*1.74-2.1*1.5+6.46*3-1.4*2.1-1*2.1+2*2.9+0.2*2</f>
        <v>78.23</v>
      </c>
      <c r="H85" s="113">
        <f>26.92*3+1.3+2.43-2.27*1.44-1.58*1.87-2.1*1.5-2.1*0.8+6.46*3-1.4*2.1-1*2.1+2*2.9+0.2*2*2</f>
        <v>94.38</v>
      </c>
      <c r="I85" s="113">
        <f>26.92*3+1.3+2.43-2.27*1.44-1.58*1.87-2.1*1.5-2.1*0.8+6.46*3-1.4*2.1-1*2.1+2*2.9+0.2*2*2</f>
        <v>94.38</v>
      </c>
      <c r="J85" s="113">
        <f>6.46*3-1.4*2.1-1*2.1+2*2.9+0.2*2*4</f>
        <v>21.74</v>
      </c>
      <c r="K85" s="113">
        <f>26.92*3+1.3+2.43-2.27*1.44-1.58*1.87-2.1*1.5-2.1*0.8+6.46*3-1.4*2.1-1*2.1+2*2.9+0.2*2*2</f>
        <v>94.38</v>
      </c>
      <c r="L85" s="113">
        <f>21.17*3+1.3-2.28*1.74-2.1*1.5+6.46*3-1.4*2.1-1*2.1+2*2.9+0.2*2</f>
        <v>78.23</v>
      </c>
      <c r="M85" s="113">
        <f>26.92*3+1.3+2.43-2.27*1.44-1.58*1.87-2.1*1.5-2.1*0.8+6.46*3-1.4*2.1-1*2.1+2*2.9+0.2*2*2</f>
        <v>94.38</v>
      </c>
      <c r="N85" s="104">
        <f>VLOOKUP(B85,'Форма КП'!$B$17:$G$25,5,FALSE)</f>
        <v>0</v>
      </c>
      <c r="O85" s="104">
        <f>N85*F85</f>
        <v>0</v>
      </c>
      <c r="P85" s="104"/>
      <c r="Q85" s="104"/>
      <c r="R85" s="104">
        <f>N85</f>
        <v>0</v>
      </c>
      <c r="S85" s="104">
        <f>N85*F85</f>
        <v>0</v>
      </c>
    </row>
    <row r="86" spans="1:19" x14ac:dyDescent="0.25">
      <c r="A86" s="132" t="s">
        <v>167</v>
      </c>
      <c r="B86" s="128" t="s">
        <v>494</v>
      </c>
      <c r="C86" s="133" t="s">
        <v>495</v>
      </c>
      <c r="D86" s="90">
        <v>1</v>
      </c>
      <c r="E86" s="132" t="s">
        <v>226</v>
      </c>
      <c r="F86" s="134">
        <f t="shared" si="33"/>
        <v>97.1</v>
      </c>
      <c r="G86" s="88">
        <f>17.7</f>
        <v>17.7</v>
      </c>
      <c r="H86" s="88">
        <f>11.8</f>
        <v>11.8</v>
      </c>
      <c r="I86" s="88">
        <f>14.7</f>
        <v>14.7</v>
      </c>
      <c r="J86" s="88">
        <f>8.7</f>
        <v>8.6999999999999993</v>
      </c>
      <c r="K86" s="88">
        <f>11.8</f>
        <v>11.8</v>
      </c>
      <c r="L86" s="88">
        <f>17.7</f>
        <v>17.7</v>
      </c>
      <c r="M86" s="108">
        <f>14.7</f>
        <v>14.7</v>
      </c>
      <c r="N86" s="29"/>
      <c r="O86" s="29"/>
      <c r="P86" s="49" t="str">
        <f>VLOOKUP(B86,'Форма КП'!$B$27:$G$49,5,FALSE)</f>
        <v>Материал заказчика</v>
      </c>
      <c r="Q86" s="50"/>
      <c r="R86" s="49" t="str">
        <f t="shared" ref="R86:R93" si="41">P86</f>
        <v>Материал заказчика</v>
      </c>
      <c r="S86" s="50"/>
    </row>
    <row r="87" spans="1:19" x14ac:dyDescent="0.25">
      <c r="A87" s="132" t="s">
        <v>168</v>
      </c>
      <c r="B87" s="128" t="s">
        <v>484</v>
      </c>
      <c r="C87" s="133" t="s">
        <v>225</v>
      </c>
      <c r="D87" s="90">
        <v>0.15</v>
      </c>
      <c r="E87" s="132" t="s">
        <v>226</v>
      </c>
      <c r="F87" s="134">
        <f t="shared" si="33"/>
        <v>64.16</v>
      </c>
      <c r="G87" s="88">
        <f>8.41</f>
        <v>8.41</v>
      </c>
      <c r="H87" s="88">
        <f>11.02</f>
        <v>11.02</v>
      </c>
      <c r="I87" s="88">
        <f>11.02</f>
        <v>11.02</v>
      </c>
      <c r="J87" s="88">
        <f>3.26</f>
        <v>3.26</v>
      </c>
      <c r="K87" s="88">
        <f>11.02</f>
        <v>11.02</v>
      </c>
      <c r="L87" s="88">
        <f>8.41</f>
        <v>8.41</v>
      </c>
      <c r="M87" s="108">
        <f>11.02</f>
        <v>11.02</v>
      </c>
      <c r="N87" s="29"/>
      <c r="O87" s="29"/>
      <c r="P87" s="49" t="str">
        <f>VLOOKUP(B87,'Форма КП'!$B$27:$G$49,5,FALSE)</f>
        <v>Материал заказчика</v>
      </c>
      <c r="Q87" s="50"/>
      <c r="R87" s="49" t="str">
        <f t="shared" si="41"/>
        <v>Материал заказчика</v>
      </c>
      <c r="S87" s="50"/>
    </row>
    <row r="88" spans="1:19" x14ac:dyDescent="0.25">
      <c r="A88" s="132" t="s">
        <v>169</v>
      </c>
      <c r="B88" s="128" t="s">
        <v>488</v>
      </c>
      <c r="C88" s="133" t="s">
        <v>489</v>
      </c>
      <c r="D88" s="90">
        <v>0.2</v>
      </c>
      <c r="E88" s="132" t="s">
        <v>228</v>
      </c>
      <c r="F88" s="134">
        <f t="shared" si="33"/>
        <v>24.05</v>
      </c>
      <c r="G88" s="89">
        <f>(7.76*3-2.1*1.5-1.58*1.87)*D88</f>
        <v>3.4350000000000001</v>
      </c>
      <c r="H88" s="89">
        <f>(8.21*3-2.1*1.5)*D88</f>
        <v>4.2960000000000003</v>
      </c>
      <c r="I88" s="89">
        <f>(8.21*3-2.1*1.5)*D88</f>
        <v>4.2960000000000003</v>
      </c>
      <c r="J88" s="89"/>
      <c r="K88" s="89">
        <f>(8.21*3-2.1*1.5)*D88</f>
        <v>4.2960000000000003</v>
      </c>
      <c r="L88" s="89">
        <f>(7.76*3-2.1*1.5-1.58*1.87)*D88</f>
        <v>3.4350000000000001</v>
      </c>
      <c r="M88" s="109">
        <f>(8.21*3-2.1*1.5)*D88</f>
        <v>4.2960000000000003</v>
      </c>
      <c r="N88" s="29"/>
      <c r="O88" s="29"/>
      <c r="P88" s="49" t="str">
        <f>VLOOKUP(B88,'Форма КП'!$B$27:$G$49,5,FALSE)</f>
        <v>Материал заказчика</v>
      </c>
      <c r="Q88" s="50"/>
      <c r="R88" s="49" t="str">
        <f t="shared" si="41"/>
        <v>Материал заказчика</v>
      </c>
      <c r="S88" s="50"/>
    </row>
    <row r="89" spans="1:19" x14ac:dyDescent="0.25">
      <c r="A89" s="132" t="s">
        <v>170</v>
      </c>
      <c r="B89" s="128" t="s">
        <v>496</v>
      </c>
      <c r="C89" s="133" t="s">
        <v>227</v>
      </c>
      <c r="D89" s="90">
        <v>10</v>
      </c>
      <c r="E89" s="132" t="s">
        <v>228</v>
      </c>
      <c r="F89" s="134">
        <f t="shared" si="33"/>
        <v>5557.2</v>
      </c>
      <c r="G89" s="88">
        <f>G85*D89</f>
        <v>782.3</v>
      </c>
      <c r="H89" s="88">
        <f>H85*D89</f>
        <v>943.8</v>
      </c>
      <c r="I89" s="88">
        <f>I85*D89</f>
        <v>943.8</v>
      </c>
      <c r="J89" s="88">
        <f>J85*D89</f>
        <v>217.4</v>
      </c>
      <c r="K89" s="88">
        <f>K85*D89</f>
        <v>943.8</v>
      </c>
      <c r="L89" s="88">
        <f>L85*D89</f>
        <v>782.3</v>
      </c>
      <c r="M89" s="108">
        <f>M85*D89</f>
        <v>943.8</v>
      </c>
      <c r="N89" s="29"/>
      <c r="O89" s="29"/>
      <c r="P89" s="49" t="str">
        <f>VLOOKUP(B89,'Форма КП'!$B$27:$G$49,5,FALSE)</f>
        <v>Материал заказчика</v>
      </c>
      <c r="Q89" s="50"/>
      <c r="R89" s="49" t="str">
        <f t="shared" si="41"/>
        <v>Материал заказчика</v>
      </c>
      <c r="S89" s="50"/>
    </row>
    <row r="90" spans="1:19" x14ac:dyDescent="0.25">
      <c r="A90" s="132" t="s">
        <v>171</v>
      </c>
      <c r="B90" s="128" t="s">
        <v>497</v>
      </c>
      <c r="C90" s="133" t="s">
        <v>498</v>
      </c>
      <c r="D90" s="90">
        <v>0.2</v>
      </c>
      <c r="E90" s="132" t="s">
        <v>228</v>
      </c>
      <c r="F90" s="134">
        <f t="shared" si="33"/>
        <v>84.81</v>
      </c>
      <c r="G90" s="88">
        <f>11.76</f>
        <v>11.76</v>
      </c>
      <c r="H90" s="88">
        <f>15.05</f>
        <v>15.05</v>
      </c>
      <c r="I90" s="88">
        <f>15.05</f>
        <v>15.05</v>
      </c>
      <c r="J90" s="88">
        <f>2.87</f>
        <v>2.87</v>
      </c>
      <c r="K90" s="88">
        <f>15.05</f>
        <v>15.05</v>
      </c>
      <c r="L90" s="88">
        <f>9.98</f>
        <v>9.98</v>
      </c>
      <c r="M90" s="88">
        <f>15.05</f>
        <v>15.05</v>
      </c>
      <c r="N90" s="29"/>
      <c r="O90" s="29"/>
      <c r="P90" s="49" t="str">
        <f>VLOOKUP(B90,'Форма КП'!$B$27:$G$49,5,FALSE)</f>
        <v>Материал заказчика</v>
      </c>
      <c r="Q90" s="50"/>
      <c r="R90" s="49" t="str">
        <f t="shared" si="41"/>
        <v>Материал заказчика</v>
      </c>
      <c r="S90" s="50"/>
    </row>
    <row r="91" spans="1:19" x14ac:dyDescent="0.25">
      <c r="A91" s="132" t="s">
        <v>172</v>
      </c>
      <c r="B91" s="128" t="s">
        <v>499</v>
      </c>
      <c r="C91" s="133" t="s">
        <v>500</v>
      </c>
      <c r="D91" s="90">
        <v>0.2</v>
      </c>
      <c r="E91" s="132" t="s">
        <v>228</v>
      </c>
      <c r="F91" s="134">
        <f t="shared" si="33"/>
        <v>26.35</v>
      </c>
      <c r="G91" s="88">
        <f>3.89</f>
        <v>3.89</v>
      </c>
      <c r="H91" s="88">
        <f>3.83</f>
        <v>3.83</v>
      </c>
      <c r="I91" s="88">
        <f>3.83</f>
        <v>3.83</v>
      </c>
      <c r="J91" s="88">
        <f>1.48</f>
        <v>1.48</v>
      </c>
      <c r="K91" s="88">
        <f>3.83</f>
        <v>3.83</v>
      </c>
      <c r="L91" s="88">
        <f>5.66</f>
        <v>5.66</v>
      </c>
      <c r="M91" s="88">
        <f>3.83</f>
        <v>3.83</v>
      </c>
      <c r="N91" s="29"/>
      <c r="O91" s="29"/>
      <c r="P91" s="49" t="str">
        <f>VLOOKUP(B91,'Форма КП'!$B$27:$G$49,5,FALSE)</f>
        <v>Материал заказчика</v>
      </c>
      <c r="Q91" s="50"/>
      <c r="R91" s="49" t="str">
        <f t="shared" si="41"/>
        <v>Материал заказчика</v>
      </c>
      <c r="S91" s="50"/>
    </row>
    <row r="92" spans="1:19" x14ac:dyDescent="0.25">
      <c r="A92" s="132" t="s">
        <v>173</v>
      </c>
      <c r="B92" s="128" t="s">
        <v>501</v>
      </c>
      <c r="C92" s="133" t="s">
        <v>502</v>
      </c>
      <c r="D92" s="90">
        <v>1.05</v>
      </c>
      <c r="E92" s="132" t="s">
        <v>224</v>
      </c>
      <c r="F92" s="134">
        <f t="shared" si="33"/>
        <v>138.36000000000001</v>
      </c>
      <c r="G92" s="88">
        <f>(5.03*3+1.3-2.1*1.5+2*2.9+0.2*2)*D92</f>
        <v>20.41</v>
      </c>
      <c r="H92" s="88">
        <f>(4.8*3+1.3-2.1*1.5+2*2.9+0.2*2*2)*D92</f>
        <v>20.11</v>
      </c>
      <c r="I92" s="88">
        <f>(4.8*3+1.3-2.1*1.5+2*2.9+0.2*2*2)*D92</f>
        <v>20.11</v>
      </c>
      <c r="J92" s="88">
        <f>(2*2.9+0.2*2*4)*D92</f>
        <v>7.77</v>
      </c>
      <c r="K92" s="88">
        <f>(4.8*3+1.3-2.1*1.5+2*2.9+0.2*2*2)*D92</f>
        <v>20.11</v>
      </c>
      <c r="L92" s="88">
        <f>(6.94*3+1.3+2*2.9+0.2*2)*D92</f>
        <v>29.74</v>
      </c>
      <c r="M92" s="88">
        <f>(4.8*3+1.3-2.1*1.5+2*2.9+0.2*2*2)*D92</f>
        <v>20.11</v>
      </c>
      <c r="N92" s="29"/>
      <c r="O92" s="29"/>
      <c r="P92" s="49" t="str">
        <f>VLOOKUP(B92,'Форма КП'!$B$27:$G$49,5,FALSE)</f>
        <v>Материал заказчика</v>
      </c>
      <c r="Q92" s="50"/>
      <c r="R92" s="49" t="str">
        <f t="shared" si="41"/>
        <v>Материал заказчика</v>
      </c>
      <c r="S92" s="50"/>
    </row>
    <row r="93" spans="1:19" x14ac:dyDescent="0.25">
      <c r="A93" s="132" t="s">
        <v>174</v>
      </c>
      <c r="B93" s="128" t="s">
        <v>503</v>
      </c>
      <c r="C93" s="133" t="s">
        <v>504</v>
      </c>
      <c r="D93" s="90">
        <v>1.05</v>
      </c>
      <c r="E93" s="132" t="s">
        <v>224</v>
      </c>
      <c r="F93" s="134">
        <f t="shared" si="33"/>
        <v>445.16</v>
      </c>
      <c r="G93" s="88">
        <f>(16.14*3-2.28*1.74+6.46*3-1.4*2.1-1*2.1)*D93</f>
        <v>61.73</v>
      </c>
      <c r="H93" s="88">
        <f>(22.12*3-1.58*1.87-2.1*0.8-2.27*1.44+2.43+6.46*3-1.4*2.1-1*2.1)*D93</f>
        <v>78.989999999999995</v>
      </c>
      <c r="I93" s="88">
        <f>(22.12*3-1.58*1.87-2.1*0.8-2.27*1.44+2.43+6.46*3-1.4*2.1-1*2.1)*D93</f>
        <v>78.989999999999995</v>
      </c>
      <c r="J93" s="88">
        <f>(6.46*3-1.4*2.1-1*2.1)*D93</f>
        <v>15.06</v>
      </c>
      <c r="K93" s="88">
        <f>(22.12*3-1.58*1.87-2.1*0.8-2.27*1.44+2.43+6.46*3-1.4*2.1-1*2.1)*D93</f>
        <v>78.989999999999995</v>
      </c>
      <c r="L93" s="88">
        <f>(14.23*3-2.28*1.74-2.1*1.5+6.46*3-1.4*2.1-1*2.1)*D93</f>
        <v>52.41</v>
      </c>
      <c r="M93" s="88">
        <f>(22.12*3-1.58*1.87-2.1*0.8-2.27*1.44+2.43+6.46*3-1.4*2.1-1*2.1)*D93</f>
        <v>78.989999999999995</v>
      </c>
      <c r="N93" s="29"/>
      <c r="O93" s="29"/>
      <c r="P93" s="49" t="str">
        <f>VLOOKUP(B93,'Форма КП'!$B$27:$G$49,5,FALSE)</f>
        <v>Материал заказчика</v>
      </c>
      <c r="Q93" s="50"/>
      <c r="R93" s="49" t="str">
        <f t="shared" si="41"/>
        <v>Материал заказчика</v>
      </c>
      <c r="S93" s="50"/>
    </row>
    <row r="94" spans="1:19" ht="156" x14ac:dyDescent="0.25">
      <c r="A94" s="127" t="s">
        <v>175</v>
      </c>
      <c r="B94" s="128" t="s">
        <v>493</v>
      </c>
      <c r="C94" s="129" t="s">
        <v>780</v>
      </c>
      <c r="D94" s="130"/>
      <c r="E94" s="127" t="s">
        <v>224</v>
      </c>
      <c r="F94" s="131">
        <f t="shared" si="33"/>
        <v>170.25</v>
      </c>
      <c r="G94" s="112">
        <f>10.01*3-2.1*0.8</f>
        <v>28.35</v>
      </c>
      <c r="H94" s="112">
        <f>7.66*3-0.8*2.1</f>
        <v>21.3</v>
      </c>
      <c r="I94" s="112">
        <f>7.66*3-0.8*2.1</f>
        <v>21.3</v>
      </c>
      <c r="J94" s="112">
        <f>10.01*3-2.1*0.8</f>
        <v>28.35</v>
      </c>
      <c r="K94" s="112">
        <f>7.66*3-0.8*2.1</f>
        <v>21.3</v>
      </c>
      <c r="L94" s="112">
        <f>10.01*3-2.1*0.8</f>
        <v>28.35</v>
      </c>
      <c r="M94" s="112">
        <f>7.66*3-0.8*2.1</f>
        <v>21.3</v>
      </c>
      <c r="N94" s="104">
        <f>VLOOKUP(B94,'Форма КП'!$B$17:$G$25,5,FALSE)</f>
        <v>0</v>
      </c>
      <c r="O94" s="104">
        <f>N94*F94</f>
        <v>0</v>
      </c>
      <c r="P94" s="104"/>
      <c r="Q94" s="104"/>
      <c r="R94" s="104">
        <f>N94</f>
        <v>0</v>
      </c>
      <c r="S94" s="104">
        <f>N94*F94</f>
        <v>0</v>
      </c>
    </row>
    <row r="95" spans="1:19" ht="24" x14ac:dyDescent="0.25">
      <c r="A95" s="132" t="s">
        <v>176</v>
      </c>
      <c r="B95" s="128" t="s">
        <v>521</v>
      </c>
      <c r="C95" s="133" t="s">
        <v>522</v>
      </c>
      <c r="D95" s="110">
        <v>1.05</v>
      </c>
      <c r="E95" s="132" t="s">
        <v>224</v>
      </c>
      <c r="F95" s="134">
        <f t="shared" si="33"/>
        <v>178.79</v>
      </c>
      <c r="G95" s="111">
        <f t="shared" ref="G95:M95" si="42">G94*1.05</f>
        <v>29.77</v>
      </c>
      <c r="H95" s="111">
        <f t="shared" si="42"/>
        <v>22.37</v>
      </c>
      <c r="I95" s="111">
        <f t="shared" si="42"/>
        <v>22.37</v>
      </c>
      <c r="J95" s="111">
        <f t="shared" si="42"/>
        <v>29.77</v>
      </c>
      <c r="K95" s="111">
        <f t="shared" si="42"/>
        <v>22.37</v>
      </c>
      <c r="L95" s="111">
        <f t="shared" si="42"/>
        <v>29.77</v>
      </c>
      <c r="M95" s="111">
        <f t="shared" si="42"/>
        <v>22.37</v>
      </c>
      <c r="N95" s="29"/>
      <c r="O95" s="29"/>
      <c r="P95" s="49" t="str">
        <f>VLOOKUP(B95,'Форма КП'!$B$27:$G$49,5,FALSE)</f>
        <v>Материал заказчика</v>
      </c>
      <c r="Q95" s="50"/>
      <c r="R95" s="49" t="str">
        <f t="shared" ref="R95:R99" si="43">P95</f>
        <v>Материал заказчика</v>
      </c>
      <c r="S95" s="50"/>
    </row>
    <row r="96" spans="1:19" x14ac:dyDescent="0.25">
      <c r="A96" s="132" t="s">
        <v>177</v>
      </c>
      <c r="B96" s="128" t="s">
        <v>496</v>
      </c>
      <c r="C96" s="133" t="s">
        <v>227</v>
      </c>
      <c r="D96" s="110">
        <v>10</v>
      </c>
      <c r="E96" s="132" t="s">
        <v>228</v>
      </c>
      <c r="F96" s="134">
        <f t="shared" si="33"/>
        <v>1702.5</v>
      </c>
      <c r="G96" s="111">
        <f>G94*10</f>
        <v>283.5</v>
      </c>
      <c r="H96" s="111">
        <f t="shared" ref="H96" si="44">H94*10</f>
        <v>213</v>
      </c>
      <c r="I96" s="111">
        <f>I94*10</f>
        <v>213</v>
      </c>
      <c r="J96" s="111">
        <f>J94*10</f>
        <v>283.5</v>
      </c>
      <c r="K96" s="111">
        <f>K94*10</f>
        <v>213</v>
      </c>
      <c r="L96" s="111">
        <f>L94*10</f>
        <v>283.5</v>
      </c>
      <c r="M96" s="111">
        <f>M94*10</f>
        <v>213</v>
      </c>
      <c r="N96" s="29"/>
      <c r="O96" s="29"/>
      <c r="P96" s="49" t="str">
        <f>VLOOKUP(B96,'Форма КП'!$B$27:$G$49,5,FALSE)</f>
        <v>Материал заказчика</v>
      </c>
      <c r="Q96" s="50"/>
      <c r="R96" s="49" t="str">
        <f t="shared" si="43"/>
        <v>Материал заказчика</v>
      </c>
      <c r="S96" s="50"/>
    </row>
    <row r="97" spans="1:19" x14ac:dyDescent="0.25">
      <c r="A97" s="132" t="s">
        <v>178</v>
      </c>
      <c r="B97" s="128" t="s">
        <v>484</v>
      </c>
      <c r="C97" s="133" t="s">
        <v>225</v>
      </c>
      <c r="D97" s="110">
        <v>0.15</v>
      </c>
      <c r="E97" s="132" t="s">
        <v>226</v>
      </c>
      <c r="F97" s="134">
        <f t="shared" si="33"/>
        <v>19.04</v>
      </c>
      <c r="G97" s="111">
        <f>(6.97*3-2.1*0.8)*0.15</f>
        <v>2.88</v>
      </c>
      <c r="H97" s="111">
        <f>(6.33*3-2.1*0.8)*0.15</f>
        <v>2.6</v>
      </c>
      <c r="I97" s="111">
        <f>(6.33*3-2.1*0.8)*0.15</f>
        <v>2.6</v>
      </c>
      <c r="J97" s="111">
        <f>(6.97*3-2.1*0.8)*0.15</f>
        <v>2.88</v>
      </c>
      <c r="K97" s="111">
        <f>(6.33*3-2.1*0.8)*0.15</f>
        <v>2.6</v>
      </c>
      <c r="L97" s="111">
        <f>(6.97*3-2.1*0.8)*0.15</f>
        <v>2.88</v>
      </c>
      <c r="M97" s="111">
        <f>(6.33*3-2.1*0.8)*0.15</f>
        <v>2.6</v>
      </c>
      <c r="N97" s="29"/>
      <c r="O97" s="29"/>
      <c r="P97" s="49" t="str">
        <f>VLOOKUP(B97,'Форма КП'!$B$27:$G$49,5,FALSE)</f>
        <v>Материал заказчика</v>
      </c>
      <c r="Q97" s="50"/>
      <c r="R97" s="49" t="str">
        <f t="shared" si="43"/>
        <v>Материал заказчика</v>
      </c>
      <c r="S97" s="50"/>
    </row>
    <row r="98" spans="1:19" x14ac:dyDescent="0.25">
      <c r="A98" s="132" t="s">
        <v>179</v>
      </c>
      <c r="B98" s="128" t="s">
        <v>488</v>
      </c>
      <c r="C98" s="133" t="s">
        <v>489</v>
      </c>
      <c r="D98" s="110">
        <v>0.2</v>
      </c>
      <c r="E98" s="132" t="s">
        <v>228</v>
      </c>
      <c r="F98" s="134">
        <f t="shared" si="33"/>
        <v>8.66</v>
      </c>
      <c r="G98" s="111">
        <f>3.04*3*0.2</f>
        <v>1.82</v>
      </c>
      <c r="H98" s="111">
        <f>1.33*3*0.2</f>
        <v>0.8</v>
      </c>
      <c r="I98" s="111">
        <f>1.33*3*0.2</f>
        <v>0.8</v>
      </c>
      <c r="J98" s="111">
        <f>3.04*3*0.2</f>
        <v>1.82</v>
      </c>
      <c r="K98" s="111">
        <f>1.33*3*0.2</f>
        <v>0.8</v>
      </c>
      <c r="L98" s="111">
        <f>3.04*3*0.2</f>
        <v>1.82</v>
      </c>
      <c r="M98" s="111">
        <f>1.33*3*0.2</f>
        <v>0.8</v>
      </c>
      <c r="N98" s="29"/>
      <c r="O98" s="29"/>
      <c r="P98" s="49" t="str">
        <f>VLOOKUP(B98,'Форма КП'!$B$27:$G$49,5,FALSE)</f>
        <v>Материал заказчика</v>
      </c>
      <c r="Q98" s="50"/>
      <c r="R98" s="49" t="str">
        <f t="shared" si="43"/>
        <v>Материал заказчика</v>
      </c>
      <c r="S98" s="50"/>
    </row>
    <row r="99" spans="1:19" x14ac:dyDescent="0.25">
      <c r="A99" s="132" t="s">
        <v>180</v>
      </c>
      <c r="B99" s="128" t="s">
        <v>523</v>
      </c>
      <c r="C99" s="133" t="s">
        <v>229</v>
      </c>
      <c r="D99" s="110">
        <v>0.2</v>
      </c>
      <c r="E99" s="132" t="s">
        <v>228</v>
      </c>
      <c r="F99" s="134">
        <f t="shared" si="33"/>
        <v>34.049999999999997</v>
      </c>
      <c r="G99" s="111">
        <f t="shared" ref="G99" si="45">G94*0.2</f>
        <v>5.67</v>
      </c>
      <c r="H99" s="111">
        <f>H94*0.2</f>
        <v>4.26</v>
      </c>
      <c r="I99" s="111">
        <f t="shared" ref="I99:M99" si="46">I94*0.2</f>
        <v>4.26</v>
      </c>
      <c r="J99" s="111">
        <f t="shared" si="46"/>
        <v>5.67</v>
      </c>
      <c r="K99" s="111">
        <f t="shared" si="46"/>
        <v>4.26</v>
      </c>
      <c r="L99" s="111">
        <f t="shared" si="46"/>
        <v>5.67</v>
      </c>
      <c r="M99" s="111">
        <f t="shared" si="46"/>
        <v>4.26</v>
      </c>
      <c r="N99" s="29"/>
      <c r="O99" s="29"/>
      <c r="P99" s="49" t="str">
        <f>VLOOKUP(B99,'Форма КП'!$B$27:$G$49,5,FALSE)</f>
        <v>Материал заказчика</v>
      </c>
      <c r="Q99" s="50"/>
      <c r="R99" s="49" t="str">
        <f t="shared" si="43"/>
        <v>Материал заказчика</v>
      </c>
      <c r="S99" s="50"/>
    </row>
    <row r="100" spans="1:19" ht="108" x14ac:dyDescent="0.25">
      <c r="A100" s="127" t="s">
        <v>181</v>
      </c>
      <c r="B100" s="128" t="s">
        <v>505</v>
      </c>
      <c r="C100" s="129" t="s">
        <v>779</v>
      </c>
      <c r="D100" s="130"/>
      <c r="E100" s="127" t="s">
        <v>224</v>
      </c>
      <c r="F100" s="131">
        <f t="shared" si="33"/>
        <v>1008.27</v>
      </c>
      <c r="G100" s="115">
        <f>G82</f>
        <v>158.97999999999999</v>
      </c>
      <c r="H100" s="115">
        <f>H82</f>
        <v>137.79</v>
      </c>
      <c r="I100" s="115">
        <f t="shared" ref="I100:M100" si="47">I82</f>
        <v>137.79</v>
      </c>
      <c r="J100" s="115">
        <f t="shared" si="47"/>
        <v>173.25</v>
      </c>
      <c r="K100" s="115">
        <f t="shared" si="47"/>
        <v>137.79</v>
      </c>
      <c r="L100" s="115">
        <f t="shared" si="47"/>
        <v>127.88</v>
      </c>
      <c r="M100" s="115">
        <f t="shared" si="47"/>
        <v>134.79</v>
      </c>
      <c r="N100" s="104">
        <f>VLOOKUP(B100,'Форма КП'!$B$17:$G$25,5,FALSE)</f>
        <v>0</v>
      </c>
      <c r="O100" s="104">
        <f>N100*F100</f>
        <v>0</v>
      </c>
      <c r="P100" s="104"/>
      <c r="Q100" s="104"/>
      <c r="R100" s="104">
        <f>N100</f>
        <v>0</v>
      </c>
      <c r="S100" s="104">
        <f>N100*F100</f>
        <v>0</v>
      </c>
    </row>
    <row r="101" spans="1:19" x14ac:dyDescent="0.25">
      <c r="A101" s="132" t="s">
        <v>182</v>
      </c>
      <c r="B101" s="128" t="s">
        <v>484</v>
      </c>
      <c r="C101" s="133" t="s">
        <v>225</v>
      </c>
      <c r="D101" s="90">
        <v>0.15</v>
      </c>
      <c r="E101" s="132" t="s">
        <v>226</v>
      </c>
      <c r="F101" s="134">
        <f t="shared" si="33"/>
        <v>151.25</v>
      </c>
      <c r="G101" s="88">
        <f>G100*D101</f>
        <v>23.85</v>
      </c>
      <c r="H101" s="88">
        <f>H100*D101</f>
        <v>20.67</v>
      </c>
      <c r="I101" s="88">
        <f>I100*D101</f>
        <v>20.67</v>
      </c>
      <c r="J101" s="88">
        <f>J100*D101</f>
        <v>25.99</v>
      </c>
      <c r="K101" s="88">
        <f>K100*D101</f>
        <v>20.67</v>
      </c>
      <c r="L101" s="88">
        <f>L100*D101</f>
        <v>19.18</v>
      </c>
      <c r="M101" s="88">
        <f>M100*D101</f>
        <v>20.22</v>
      </c>
      <c r="N101" s="29"/>
      <c r="O101" s="29"/>
      <c r="P101" s="49" t="str">
        <f>VLOOKUP(B101,'Форма КП'!$B$27:$G$49,5,FALSE)</f>
        <v>Материал заказчика</v>
      </c>
      <c r="Q101" s="50"/>
      <c r="R101" s="49" t="str">
        <f t="shared" ref="R101:R102" si="48">P101</f>
        <v>Материал заказчика</v>
      </c>
      <c r="S101" s="50"/>
    </row>
    <row r="102" spans="1:19" ht="24" x14ac:dyDescent="0.25">
      <c r="A102" s="132" t="s">
        <v>183</v>
      </c>
      <c r="B102" s="128" t="s">
        <v>516</v>
      </c>
      <c r="C102" s="133" t="s">
        <v>517</v>
      </c>
      <c r="D102" s="90">
        <v>0.25</v>
      </c>
      <c r="E102" s="132" t="s">
        <v>226</v>
      </c>
      <c r="F102" s="134">
        <f t="shared" si="33"/>
        <v>252.08</v>
      </c>
      <c r="G102" s="88">
        <f>G100*D102</f>
        <v>39.75</v>
      </c>
      <c r="H102" s="88">
        <f>H100*D102</f>
        <v>34.450000000000003</v>
      </c>
      <c r="I102" s="88">
        <f>I100*D102</f>
        <v>34.450000000000003</v>
      </c>
      <c r="J102" s="88">
        <f>J100*D102</f>
        <v>43.31</v>
      </c>
      <c r="K102" s="88">
        <f>K100*D102</f>
        <v>34.450000000000003</v>
      </c>
      <c r="L102" s="88">
        <f>L100*D102</f>
        <v>31.97</v>
      </c>
      <c r="M102" s="88">
        <f>M100*D102</f>
        <v>33.700000000000003</v>
      </c>
      <c r="N102" s="29"/>
      <c r="O102" s="29"/>
      <c r="P102" s="49" t="str">
        <f>VLOOKUP(B102,'Форма КП'!$B$27:$G$49,5,FALSE)</f>
        <v>Материал заказчика</v>
      </c>
      <c r="Q102" s="50"/>
      <c r="R102" s="49" t="str">
        <f t="shared" si="48"/>
        <v>Материал заказчика</v>
      </c>
      <c r="S102" s="50"/>
    </row>
    <row r="103" spans="1:19" ht="108" x14ac:dyDescent="0.25">
      <c r="A103" s="127" t="s">
        <v>184</v>
      </c>
      <c r="B103" s="128" t="s">
        <v>518</v>
      </c>
      <c r="C103" s="129" t="s">
        <v>781</v>
      </c>
      <c r="D103" s="130"/>
      <c r="E103" s="127" t="s">
        <v>224</v>
      </c>
      <c r="F103" s="131">
        <f t="shared" si="33"/>
        <v>520.23</v>
      </c>
      <c r="G103" s="115">
        <v>95.79</v>
      </c>
      <c r="H103" s="115">
        <v>67.73</v>
      </c>
      <c r="I103" s="115">
        <v>67.989999999999995</v>
      </c>
      <c r="J103" s="115">
        <v>66.849999999999994</v>
      </c>
      <c r="K103" s="115">
        <v>67.989999999999995</v>
      </c>
      <c r="L103" s="115">
        <v>77.290000000000006</v>
      </c>
      <c r="M103" s="115">
        <v>76.59</v>
      </c>
      <c r="N103" s="104">
        <f>VLOOKUP(B103,'Форма КП'!$B$17:$G$25,5,FALSE)</f>
        <v>0</v>
      </c>
      <c r="O103" s="104">
        <f>N103*F103</f>
        <v>0</v>
      </c>
      <c r="P103" s="104"/>
      <c r="Q103" s="104"/>
      <c r="R103" s="104">
        <f>N103</f>
        <v>0</v>
      </c>
      <c r="S103" s="104">
        <f>N103*F103</f>
        <v>0</v>
      </c>
    </row>
    <row r="104" spans="1:19" x14ac:dyDescent="0.25">
      <c r="A104" s="132" t="s">
        <v>185</v>
      </c>
      <c r="B104" s="128" t="s">
        <v>519</v>
      </c>
      <c r="C104" s="133" t="s">
        <v>520</v>
      </c>
      <c r="D104" s="90">
        <v>5.1499999999999997E-2</v>
      </c>
      <c r="E104" s="132" t="s">
        <v>231</v>
      </c>
      <c r="F104" s="135">
        <f t="shared" si="33"/>
        <v>26.79</v>
      </c>
      <c r="G104" s="89">
        <f>G103*D104</f>
        <v>4.9329999999999998</v>
      </c>
      <c r="H104" s="89">
        <f>H103*D104</f>
        <v>3.488</v>
      </c>
      <c r="I104" s="89">
        <f>I103*D104</f>
        <v>3.5009999999999999</v>
      </c>
      <c r="J104" s="89">
        <f>J103*D104</f>
        <v>3.4430000000000001</v>
      </c>
      <c r="K104" s="89">
        <f>K103*D104</f>
        <v>3.5009999999999999</v>
      </c>
      <c r="L104" s="89">
        <f>L103*D104</f>
        <v>3.98</v>
      </c>
      <c r="M104" s="89">
        <f>M103*D104</f>
        <v>3.944</v>
      </c>
      <c r="N104" s="29"/>
      <c r="O104" s="29"/>
      <c r="P104" s="86">
        <f>VLOOKUP(B104,'Форма КП'!$B$27:$G$49,5,FALSE)</f>
        <v>0</v>
      </c>
      <c r="Q104" s="86">
        <f t="shared" ref="Q104" si="49">P104*F104</f>
        <v>0</v>
      </c>
      <c r="R104" s="32">
        <f t="shared" ref="R104" si="50">P104</f>
        <v>0</v>
      </c>
      <c r="S104" s="32">
        <f t="shared" ref="S104" si="51">P104*F104</f>
        <v>0</v>
      </c>
    </row>
    <row r="105" spans="1:19" ht="264" x14ac:dyDescent="0.25">
      <c r="A105" s="127" t="s">
        <v>186</v>
      </c>
      <c r="B105" s="128" t="s">
        <v>474</v>
      </c>
      <c r="C105" s="129" t="s">
        <v>782</v>
      </c>
      <c r="D105" s="130"/>
      <c r="E105" s="127" t="s">
        <v>224</v>
      </c>
      <c r="F105" s="131">
        <f t="shared" si="33"/>
        <v>520.23</v>
      </c>
      <c r="G105" s="113">
        <f>21.81*3.05-1.8*2.2-3.4*2.1+6.46*3.05-2.4*2.3+4.93*3.11+3.56*3.05</f>
        <v>95.79</v>
      </c>
      <c r="H105" s="113">
        <f>13.38*3.05-1.3*2.1-1.5*2.27+6.46*3.05-2.4*2.3+6.07*3.11</f>
        <v>67.73</v>
      </c>
      <c r="I105" s="113">
        <f>13.38*3.05-2.8*2.1+6.46*3.05-2.4*2.3+6.07*3.11</f>
        <v>67.989999999999995</v>
      </c>
      <c r="J105" s="113">
        <f>12.71*3.05-2.59*2.1+6.46*3.05-2.4*2.3+5.08*3.11+1.16*3.05</f>
        <v>66.849999999999994</v>
      </c>
      <c r="K105" s="113">
        <f>13.38*3.05-2.8*2.1+6.46*3.05-2.4*2.3+6.07*3.11</f>
        <v>67.989999999999995</v>
      </c>
      <c r="L105" s="113">
        <f>14.78*3.05-3.9*2.1+6.46*3.05-2.4*2.3+4.94*3.11+3.56*3.05</f>
        <v>77.290000000000006</v>
      </c>
      <c r="M105" s="113">
        <f>13.59*3.05-2.8*2.1+6.46*3.05-2.4*2.3+6.08*3.11+2.6*3.05</f>
        <v>76.59</v>
      </c>
      <c r="N105" s="104">
        <f>VLOOKUP(B105,'Форма КП'!$B$17:$G$25,5,FALSE)</f>
        <v>0</v>
      </c>
      <c r="O105" s="104">
        <f>N105*F105</f>
        <v>0</v>
      </c>
      <c r="P105" s="104"/>
      <c r="Q105" s="104"/>
      <c r="R105" s="104">
        <f>N105</f>
        <v>0</v>
      </c>
      <c r="S105" s="104">
        <f>N105*F105</f>
        <v>0</v>
      </c>
    </row>
    <row r="106" spans="1:19" x14ac:dyDescent="0.25">
      <c r="A106" s="132" t="s">
        <v>187</v>
      </c>
      <c r="B106" s="128" t="s">
        <v>475</v>
      </c>
      <c r="C106" s="133" t="s">
        <v>476</v>
      </c>
      <c r="D106" s="90">
        <v>2.25</v>
      </c>
      <c r="E106" s="132" t="s">
        <v>224</v>
      </c>
      <c r="F106" s="134">
        <f t="shared" si="33"/>
        <v>1170.52</v>
      </c>
      <c r="G106" s="88">
        <f>G105*D106</f>
        <v>215.53</v>
      </c>
      <c r="H106" s="88">
        <f>H105*D106</f>
        <v>152.38999999999999</v>
      </c>
      <c r="I106" s="88">
        <f>I105*D106</f>
        <v>152.97999999999999</v>
      </c>
      <c r="J106" s="88">
        <f>J105*D106</f>
        <v>150.41</v>
      </c>
      <c r="K106" s="88">
        <f>K105*D106</f>
        <v>152.97999999999999</v>
      </c>
      <c r="L106" s="88">
        <f>L105*D106</f>
        <v>173.9</v>
      </c>
      <c r="M106" s="88">
        <f>M105*D106</f>
        <v>172.33</v>
      </c>
      <c r="N106" s="29"/>
      <c r="O106" s="29"/>
      <c r="P106" s="86">
        <f>VLOOKUP(B106,'Форма КП'!$B$27:$G$49,5,FALSE)</f>
        <v>0</v>
      </c>
      <c r="Q106" s="86">
        <f t="shared" ref="Q106:Q108" si="52">P106*F106</f>
        <v>0</v>
      </c>
      <c r="R106" s="32">
        <f t="shared" ref="R106:R108" si="53">P106</f>
        <v>0</v>
      </c>
      <c r="S106" s="32">
        <f t="shared" ref="S106:S108" si="54">P106*F106</f>
        <v>0</v>
      </c>
    </row>
    <row r="107" spans="1:19" x14ac:dyDescent="0.25">
      <c r="A107" s="132" t="s">
        <v>188</v>
      </c>
      <c r="B107" s="128" t="s">
        <v>477</v>
      </c>
      <c r="C107" s="133" t="s">
        <v>478</v>
      </c>
      <c r="D107" s="90">
        <v>0.86</v>
      </c>
      <c r="E107" s="132" t="s">
        <v>6</v>
      </c>
      <c r="F107" s="134">
        <f t="shared" si="33"/>
        <v>447.4</v>
      </c>
      <c r="G107" s="88">
        <f>G105*D107</f>
        <v>82.38</v>
      </c>
      <c r="H107" s="88">
        <f>H105*D107</f>
        <v>58.25</v>
      </c>
      <c r="I107" s="88">
        <f>I105*D107</f>
        <v>58.47</v>
      </c>
      <c r="J107" s="88">
        <f>J105*D107</f>
        <v>57.49</v>
      </c>
      <c r="K107" s="88">
        <f>K105*D107</f>
        <v>58.47</v>
      </c>
      <c r="L107" s="88">
        <f>L105*D107</f>
        <v>66.47</v>
      </c>
      <c r="M107" s="88">
        <f>M105*D107</f>
        <v>65.87</v>
      </c>
      <c r="N107" s="29"/>
      <c r="O107" s="29"/>
      <c r="P107" s="86">
        <f>VLOOKUP(B107,'Форма КП'!$B$27:$G$49,5,FALSE)</f>
        <v>0</v>
      </c>
      <c r="Q107" s="86">
        <f t="shared" si="52"/>
        <v>0</v>
      </c>
      <c r="R107" s="32">
        <f t="shared" si="53"/>
        <v>0</v>
      </c>
      <c r="S107" s="32">
        <f t="shared" si="54"/>
        <v>0</v>
      </c>
    </row>
    <row r="108" spans="1:19" x14ac:dyDescent="0.25">
      <c r="A108" s="132" t="s">
        <v>209</v>
      </c>
      <c r="B108" s="128" t="s">
        <v>479</v>
      </c>
      <c r="C108" s="133" t="s">
        <v>480</v>
      </c>
      <c r="D108" s="90">
        <v>2.34</v>
      </c>
      <c r="E108" s="132" t="s">
        <v>6</v>
      </c>
      <c r="F108" s="134">
        <f t="shared" si="33"/>
        <v>1217.3499999999999</v>
      </c>
      <c r="G108" s="88">
        <f>G105*D108</f>
        <v>224.15</v>
      </c>
      <c r="H108" s="88">
        <f>H105*D108</f>
        <v>158.49</v>
      </c>
      <c r="I108" s="88">
        <f>I105*D108</f>
        <v>159.1</v>
      </c>
      <c r="J108" s="88">
        <f>J105*D108</f>
        <v>156.43</v>
      </c>
      <c r="K108" s="88">
        <f>K105*D108</f>
        <v>159.1</v>
      </c>
      <c r="L108" s="88">
        <f>L105*D108</f>
        <v>180.86</v>
      </c>
      <c r="M108" s="88">
        <f>M105*D108</f>
        <v>179.22</v>
      </c>
      <c r="N108" s="29"/>
      <c r="O108" s="29"/>
      <c r="P108" s="86">
        <f>VLOOKUP(B108,'Форма КП'!$B$27:$G$49,5,FALSE)</f>
        <v>0</v>
      </c>
      <c r="Q108" s="86">
        <f t="shared" si="52"/>
        <v>0</v>
      </c>
      <c r="R108" s="32">
        <f t="shared" si="53"/>
        <v>0</v>
      </c>
      <c r="S108" s="32">
        <f t="shared" si="54"/>
        <v>0</v>
      </c>
    </row>
    <row r="109" spans="1:19" ht="264" x14ac:dyDescent="0.25">
      <c r="A109" s="127" t="s">
        <v>210</v>
      </c>
      <c r="B109" s="128" t="s">
        <v>474</v>
      </c>
      <c r="C109" s="129" t="s">
        <v>782</v>
      </c>
      <c r="D109" s="130"/>
      <c r="E109" s="127" t="s">
        <v>224</v>
      </c>
      <c r="F109" s="131">
        <f t="shared" si="33"/>
        <v>64.06</v>
      </c>
      <c r="G109" s="113">
        <f>3.66*3.05</f>
        <v>11.16</v>
      </c>
      <c r="H109" s="113">
        <f>2.5*3.05</f>
        <v>7.63</v>
      </c>
      <c r="I109" s="113">
        <f>2.5*3.05</f>
        <v>7.63</v>
      </c>
      <c r="J109" s="113">
        <f>3.67*3.05</f>
        <v>11.19</v>
      </c>
      <c r="K109" s="113">
        <f>2.5*3.05</f>
        <v>7.63</v>
      </c>
      <c r="L109" s="113">
        <f>3.67*3.05</f>
        <v>11.19</v>
      </c>
      <c r="M109" s="113">
        <f>2.5*3.05</f>
        <v>7.63</v>
      </c>
      <c r="N109" s="104">
        <f>VLOOKUP(B109,'Форма КП'!$B$17:$G$25,5,FALSE)</f>
        <v>0</v>
      </c>
      <c r="O109" s="104">
        <f>N109*F109</f>
        <v>0</v>
      </c>
      <c r="P109" s="104"/>
      <c r="Q109" s="104"/>
      <c r="R109" s="104">
        <f>N109</f>
        <v>0</v>
      </c>
      <c r="S109" s="104">
        <f>N109*F109</f>
        <v>0</v>
      </c>
    </row>
    <row r="110" spans="1:19" x14ac:dyDescent="0.25">
      <c r="A110" s="132" t="s">
        <v>211</v>
      </c>
      <c r="B110" s="128" t="s">
        <v>524</v>
      </c>
      <c r="C110" s="133" t="s">
        <v>525</v>
      </c>
      <c r="D110" s="90">
        <v>2.25</v>
      </c>
      <c r="E110" s="132" t="s">
        <v>224</v>
      </c>
      <c r="F110" s="134">
        <f t="shared" si="33"/>
        <v>144.15</v>
      </c>
      <c r="G110" s="88">
        <f>G109*D110</f>
        <v>25.11</v>
      </c>
      <c r="H110" s="88">
        <f>H109*D110</f>
        <v>17.170000000000002</v>
      </c>
      <c r="I110" s="88">
        <f>I109*D110</f>
        <v>17.170000000000002</v>
      </c>
      <c r="J110" s="88">
        <f>J109*D110</f>
        <v>25.18</v>
      </c>
      <c r="K110" s="88">
        <f>K109*D110</f>
        <v>17.170000000000002</v>
      </c>
      <c r="L110" s="88">
        <f>L109*D110</f>
        <v>25.18</v>
      </c>
      <c r="M110" s="88">
        <f>M109*D110</f>
        <v>17.170000000000002</v>
      </c>
      <c r="N110" s="29"/>
      <c r="O110" s="29"/>
      <c r="P110" s="86">
        <f>VLOOKUP(B110,'Форма КП'!$B$27:$G$49,5,FALSE)</f>
        <v>0</v>
      </c>
      <c r="Q110" s="86">
        <f t="shared" ref="Q110:Q112" si="55">P110*F110</f>
        <v>0</v>
      </c>
      <c r="R110" s="32">
        <f t="shared" ref="R110:R112" si="56">P110</f>
        <v>0</v>
      </c>
      <c r="S110" s="32">
        <f t="shared" ref="S110:S112" si="57">P110*F110</f>
        <v>0</v>
      </c>
    </row>
    <row r="111" spans="1:19" x14ac:dyDescent="0.25">
      <c r="A111" s="132" t="s">
        <v>212</v>
      </c>
      <c r="B111" s="128" t="s">
        <v>477</v>
      </c>
      <c r="C111" s="133" t="s">
        <v>478</v>
      </c>
      <c r="D111" s="90">
        <v>0.86</v>
      </c>
      <c r="E111" s="132" t="s">
        <v>6</v>
      </c>
      <c r="F111" s="134">
        <f t="shared" si="33"/>
        <v>55.08</v>
      </c>
      <c r="G111" s="88">
        <f>G109*D111</f>
        <v>9.6</v>
      </c>
      <c r="H111" s="88">
        <f>H109*D111</f>
        <v>6.56</v>
      </c>
      <c r="I111" s="88">
        <f>I109*D111</f>
        <v>6.56</v>
      </c>
      <c r="J111" s="88">
        <f>J109*D111</f>
        <v>9.6199999999999992</v>
      </c>
      <c r="K111" s="88">
        <f>K109*D111</f>
        <v>6.56</v>
      </c>
      <c r="L111" s="88">
        <f>L109*D111</f>
        <v>9.6199999999999992</v>
      </c>
      <c r="M111" s="88">
        <f>M109*D111</f>
        <v>6.56</v>
      </c>
      <c r="N111" s="29"/>
      <c r="O111" s="29"/>
      <c r="P111" s="86">
        <f>VLOOKUP(B111,'Форма КП'!$B$27:$G$49,5,FALSE)</f>
        <v>0</v>
      </c>
      <c r="Q111" s="86">
        <f t="shared" si="55"/>
        <v>0</v>
      </c>
      <c r="R111" s="32">
        <f t="shared" si="56"/>
        <v>0</v>
      </c>
      <c r="S111" s="32">
        <f t="shared" si="57"/>
        <v>0</v>
      </c>
    </row>
    <row r="112" spans="1:19" x14ac:dyDescent="0.25">
      <c r="A112" s="132" t="s">
        <v>213</v>
      </c>
      <c r="B112" s="128" t="s">
        <v>479</v>
      </c>
      <c r="C112" s="133" t="s">
        <v>480</v>
      </c>
      <c r="D112" s="90">
        <v>2.34</v>
      </c>
      <c r="E112" s="132" t="s">
        <v>6</v>
      </c>
      <c r="F112" s="134">
        <f t="shared" si="33"/>
        <v>149.87</v>
      </c>
      <c r="G112" s="88">
        <f>G109*D112</f>
        <v>26.11</v>
      </c>
      <c r="H112" s="88">
        <f>H109*D112</f>
        <v>17.850000000000001</v>
      </c>
      <c r="I112" s="88">
        <f>I109*D112</f>
        <v>17.850000000000001</v>
      </c>
      <c r="J112" s="88">
        <f>J109*D112</f>
        <v>26.18</v>
      </c>
      <c r="K112" s="88">
        <f>K109*D112</f>
        <v>17.850000000000001</v>
      </c>
      <c r="L112" s="88">
        <f>L109*D112</f>
        <v>26.18</v>
      </c>
      <c r="M112" s="88">
        <f>M109*D112</f>
        <v>17.850000000000001</v>
      </c>
      <c r="N112" s="29"/>
      <c r="O112" s="29"/>
      <c r="P112" s="86">
        <f>VLOOKUP(B112,'Форма КП'!$B$27:$G$49,5,FALSE)</f>
        <v>0</v>
      </c>
      <c r="Q112" s="86">
        <f t="shared" si="55"/>
        <v>0</v>
      </c>
      <c r="R112" s="32">
        <f t="shared" si="56"/>
        <v>0</v>
      </c>
      <c r="S112" s="32">
        <f t="shared" si="57"/>
        <v>0</v>
      </c>
    </row>
    <row r="113" spans="1:19" ht="108" x14ac:dyDescent="0.25">
      <c r="A113" s="127" t="s">
        <v>214</v>
      </c>
      <c r="B113" s="128" t="s">
        <v>505</v>
      </c>
      <c r="C113" s="129" t="s">
        <v>779</v>
      </c>
      <c r="D113" s="130"/>
      <c r="E113" s="127" t="s">
        <v>224</v>
      </c>
      <c r="F113" s="131">
        <f t="shared" si="33"/>
        <v>673.97</v>
      </c>
      <c r="G113" s="116">
        <v>103.5</v>
      </c>
      <c r="H113" s="116">
        <v>102.4</v>
      </c>
      <c r="I113" s="116">
        <v>102.4</v>
      </c>
      <c r="J113" s="116">
        <v>76.92</v>
      </c>
      <c r="K113" s="116">
        <v>103.38</v>
      </c>
      <c r="L113" s="116">
        <v>92.43</v>
      </c>
      <c r="M113" s="116">
        <v>92.94</v>
      </c>
      <c r="N113" s="104">
        <f>VLOOKUP(B113,'Форма КП'!$B$17:$G$25,5,FALSE)</f>
        <v>0</v>
      </c>
      <c r="O113" s="104">
        <f>N113*F113</f>
        <v>0</v>
      </c>
      <c r="P113" s="104"/>
      <c r="Q113" s="104"/>
      <c r="R113" s="104">
        <f>N113</f>
        <v>0</v>
      </c>
      <c r="S113" s="104">
        <f>N113*F113</f>
        <v>0</v>
      </c>
    </row>
    <row r="114" spans="1:19" x14ac:dyDescent="0.25">
      <c r="A114" s="132" t="s">
        <v>235</v>
      </c>
      <c r="B114" s="128" t="s">
        <v>484</v>
      </c>
      <c r="C114" s="133" t="s">
        <v>225</v>
      </c>
      <c r="D114" s="107">
        <v>0.15</v>
      </c>
      <c r="E114" s="132" t="s">
        <v>226</v>
      </c>
      <c r="F114" s="134">
        <f t="shared" si="33"/>
        <v>101.1</v>
      </c>
      <c r="G114" s="106">
        <f>G113*D114</f>
        <v>15.53</v>
      </c>
      <c r="H114" s="106">
        <f>H113*D114</f>
        <v>15.36</v>
      </c>
      <c r="I114" s="106">
        <f>I113*D114</f>
        <v>15.36</v>
      </c>
      <c r="J114" s="106">
        <f>J113*D114</f>
        <v>11.54</v>
      </c>
      <c r="K114" s="106">
        <f>K113*D114</f>
        <v>15.51</v>
      </c>
      <c r="L114" s="106">
        <f>L113*D114</f>
        <v>13.86</v>
      </c>
      <c r="M114" s="106">
        <f>M113*D114</f>
        <v>13.94</v>
      </c>
      <c r="N114" s="29"/>
      <c r="O114" s="29"/>
      <c r="P114" s="49" t="str">
        <f>VLOOKUP(B114,'Форма КП'!$B$27:$G$49,5,FALSE)</f>
        <v>Материал заказчика</v>
      </c>
      <c r="Q114" s="50"/>
      <c r="R114" s="49" t="str">
        <f t="shared" ref="R114:R115" si="58">P114</f>
        <v>Материал заказчика</v>
      </c>
      <c r="S114" s="50"/>
    </row>
    <row r="115" spans="1:19" ht="24" x14ac:dyDescent="0.25">
      <c r="A115" s="132" t="s">
        <v>236</v>
      </c>
      <c r="B115" s="128" t="s">
        <v>506</v>
      </c>
      <c r="C115" s="133" t="s">
        <v>507</v>
      </c>
      <c r="D115" s="107">
        <v>0.25</v>
      </c>
      <c r="E115" s="132" t="s">
        <v>226</v>
      </c>
      <c r="F115" s="134">
        <f t="shared" si="33"/>
        <v>168.51</v>
      </c>
      <c r="G115" s="106">
        <f>G113*D115</f>
        <v>25.88</v>
      </c>
      <c r="H115" s="106">
        <f>H113*D115</f>
        <v>25.6</v>
      </c>
      <c r="I115" s="106">
        <f>I113*D115</f>
        <v>25.6</v>
      </c>
      <c r="J115" s="106">
        <f>J113*D115</f>
        <v>19.23</v>
      </c>
      <c r="K115" s="106">
        <f>K113*D115</f>
        <v>25.85</v>
      </c>
      <c r="L115" s="106">
        <f>L113*D115</f>
        <v>23.11</v>
      </c>
      <c r="M115" s="106">
        <f>M113*D115</f>
        <v>23.24</v>
      </c>
      <c r="N115" s="29"/>
      <c r="O115" s="29"/>
      <c r="P115" s="49" t="str">
        <f>VLOOKUP(B115,'Форма КП'!$B$27:$G$49,5,FALSE)</f>
        <v>Материал заказчика</v>
      </c>
      <c r="Q115" s="50"/>
      <c r="R115" s="49" t="str">
        <f t="shared" si="58"/>
        <v>Материал заказчика</v>
      </c>
      <c r="S115" s="50"/>
    </row>
    <row r="116" spans="1:19" ht="108" x14ac:dyDescent="0.25">
      <c r="A116" s="127" t="s">
        <v>237</v>
      </c>
      <c r="B116" s="128" t="s">
        <v>505</v>
      </c>
      <c r="C116" s="129" t="s">
        <v>779</v>
      </c>
      <c r="D116" s="130"/>
      <c r="E116" s="127" t="s">
        <v>224</v>
      </c>
      <c r="F116" s="131">
        <f t="shared" si="33"/>
        <v>52.99</v>
      </c>
      <c r="G116" s="116">
        <f>2.43*3</f>
        <v>7.29</v>
      </c>
      <c r="H116" s="116">
        <f>3.52*3-1.09*2.1</f>
        <v>8.27</v>
      </c>
      <c r="I116" s="116">
        <f>3.52*3-1.09*2.1</f>
        <v>8.27</v>
      </c>
      <c r="J116" s="116">
        <f>2.43*3</f>
        <v>7.29</v>
      </c>
      <c r="K116" s="116">
        <f>2.43*3</f>
        <v>7.29</v>
      </c>
      <c r="L116" s="116">
        <f>2.43*3</f>
        <v>7.29</v>
      </c>
      <c r="M116" s="116">
        <f>2.43*3</f>
        <v>7.29</v>
      </c>
      <c r="N116" s="104">
        <f>VLOOKUP(B116,'Форма КП'!$B$17:$G$25,5,FALSE)</f>
        <v>0</v>
      </c>
      <c r="O116" s="104">
        <f>N116*F116</f>
        <v>0</v>
      </c>
      <c r="P116" s="104"/>
      <c r="Q116" s="104"/>
      <c r="R116" s="104">
        <f>N116</f>
        <v>0</v>
      </c>
      <c r="S116" s="104">
        <f>N116*F116</f>
        <v>0</v>
      </c>
    </row>
    <row r="117" spans="1:19" x14ac:dyDescent="0.25">
      <c r="A117" s="132" t="s">
        <v>238</v>
      </c>
      <c r="B117" s="128" t="s">
        <v>484</v>
      </c>
      <c r="C117" s="133" t="s">
        <v>225</v>
      </c>
      <c r="D117" s="107">
        <v>0.15</v>
      </c>
      <c r="E117" s="132" t="s">
        <v>226</v>
      </c>
      <c r="F117" s="134">
        <f t="shared" si="33"/>
        <v>7.93</v>
      </c>
      <c r="G117" s="106">
        <f>G116*D117</f>
        <v>1.0900000000000001</v>
      </c>
      <c r="H117" s="106">
        <f>H116*D117</f>
        <v>1.24</v>
      </c>
      <c r="I117" s="106">
        <f>I116*D117</f>
        <v>1.24</v>
      </c>
      <c r="J117" s="106">
        <f>J116*D117</f>
        <v>1.0900000000000001</v>
      </c>
      <c r="K117" s="106">
        <f>K116*D117</f>
        <v>1.0900000000000001</v>
      </c>
      <c r="L117" s="106">
        <f>L116*D117</f>
        <v>1.0900000000000001</v>
      </c>
      <c r="M117" s="106">
        <f>M116*D117</f>
        <v>1.0900000000000001</v>
      </c>
      <c r="N117" s="29"/>
      <c r="O117" s="29"/>
      <c r="P117" s="49" t="str">
        <f>VLOOKUP(B117,'Форма КП'!$B$27:$G$49,5,FALSE)</f>
        <v>Материал заказчика</v>
      </c>
      <c r="Q117" s="50"/>
      <c r="R117" s="49" t="str">
        <f t="shared" ref="R117:R118" si="59">P117</f>
        <v>Материал заказчика</v>
      </c>
      <c r="S117" s="50"/>
    </row>
    <row r="118" spans="1:19" ht="24" x14ac:dyDescent="0.25">
      <c r="A118" s="132" t="s">
        <v>239</v>
      </c>
      <c r="B118" s="128" t="s">
        <v>508</v>
      </c>
      <c r="C118" s="133" t="s">
        <v>509</v>
      </c>
      <c r="D118" s="107">
        <v>0.25</v>
      </c>
      <c r="E118" s="132" t="s">
        <v>226</v>
      </c>
      <c r="F118" s="134">
        <f t="shared" si="33"/>
        <v>13.24</v>
      </c>
      <c r="G118" s="106">
        <f>G116*D118</f>
        <v>1.82</v>
      </c>
      <c r="H118" s="106">
        <f>H116*D118</f>
        <v>2.0699999999999998</v>
      </c>
      <c r="I118" s="106">
        <f>I116*D118</f>
        <v>2.0699999999999998</v>
      </c>
      <c r="J118" s="106">
        <f>J116*D118</f>
        <v>1.82</v>
      </c>
      <c r="K118" s="106">
        <f>K116*D118</f>
        <v>1.82</v>
      </c>
      <c r="L118" s="106">
        <f>L116*D118</f>
        <v>1.82</v>
      </c>
      <c r="M118" s="106">
        <f>M116*D118</f>
        <v>1.82</v>
      </c>
      <c r="N118" s="29"/>
      <c r="O118" s="29"/>
      <c r="P118" s="49" t="str">
        <f>VLOOKUP(B118,'Форма КП'!$B$27:$G$49,5,FALSE)</f>
        <v>Материал заказчика</v>
      </c>
      <c r="Q118" s="50"/>
      <c r="R118" s="49" t="str">
        <f t="shared" si="59"/>
        <v>Материал заказчика</v>
      </c>
      <c r="S118" s="50"/>
    </row>
    <row r="119" spans="1:19" x14ac:dyDescent="0.25">
      <c r="A119" s="126" t="s">
        <v>232</v>
      </c>
      <c r="B119" s="120"/>
      <c r="C119" s="121"/>
      <c r="D119" s="122"/>
      <c r="E119" s="123"/>
      <c r="F119" s="124"/>
      <c r="G119" s="125"/>
      <c r="H119" s="125"/>
      <c r="I119" s="125"/>
      <c r="J119" s="125"/>
      <c r="K119" s="125"/>
      <c r="L119" s="125"/>
      <c r="M119" s="125"/>
      <c r="N119" s="33"/>
      <c r="O119" s="33"/>
      <c r="P119" s="33"/>
      <c r="Q119" s="33"/>
      <c r="R119" s="33"/>
      <c r="S119" s="31"/>
    </row>
    <row r="120" spans="1:19" ht="216" x14ac:dyDescent="0.25">
      <c r="A120" s="127" t="s">
        <v>240</v>
      </c>
      <c r="B120" s="128" t="s">
        <v>510</v>
      </c>
      <c r="C120" s="129" t="s">
        <v>776</v>
      </c>
      <c r="D120" s="130"/>
      <c r="E120" s="127" t="s">
        <v>224</v>
      </c>
      <c r="F120" s="131">
        <f t="shared" si="33"/>
        <v>1125.53</v>
      </c>
      <c r="G120" s="113">
        <f>14.85*3+1*0.9+1.8*0.72</f>
        <v>46.75</v>
      </c>
      <c r="H120" s="113">
        <f>50.6*3+5.4*0.72+4*1.42+3.8*0.9</f>
        <v>164.79</v>
      </c>
      <c r="I120" s="113">
        <f>50.6*3+5.4*0.72+4*1.42+3.8*0.9</f>
        <v>164.79</v>
      </c>
      <c r="J120" s="113">
        <f>85.7*3+11.8*1.42+7.7*0.72+6*0.9</f>
        <v>284.8</v>
      </c>
      <c r="K120" s="116">
        <f>61.37*3-3.8*2.1-5.6*1.7-5.4*2.3</f>
        <v>154.19</v>
      </c>
      <c r="L120" s="116">
        <f>41.64*3-4*2.1-3.95*1.7-1.8*2.3</f>
        <v>105.67</v>
      </c>
      <c r="M120" s="116">
        <f>76.61*3-11.24*1.7-3.6*2.3+3*0.7</f>
        <v>204.54</v>
      </c>
      <c r="N120" s="104">
        <f>VLOOKUP(B120,'Форма КП'!$B$17:$G$25,5,FALSE)</f>
        <v>0</v>
      </c>
      <c r="O120" s="104">
        <f>N120*F120</f>
        <v>0</v>
      </c>
      <c r="P120" s="104"/>
      <c r="Q120" s="104"/>
      <c r="R120" s="104">
        <f>N120</f>
        <v>0</v>
      </c>
      <c r="S120" s="104">
        <f>N120*F120</f>
        <v>0</v>
      </c>
    </row>
    <row r="121" spans="1:19" x14ac:dyDescent="0.25">
      <c r="A121" s="132" t="s">
        <v>241</v>
      </c>
      <c r="B121" s="128" t="s">
        <v>486</v>
      </c>
      <c r="C121" s="133" t="s">
        <v>487</v>
      </c>
      <c r="D121" s="90">
        <v>1.45</v>
      </c>
      <c r="E121" s="132" t="s">
        <v>6</v>
      </c>
      <c r="F121" s="134">
        <f t="shared" si="33"/>
        <v>1632.03</v>
      </c>
      <c r="G121" s="88">
        <f>G120*D121</f>
        <v>67.790000000000006</v>
      </c>
      <c r="H121" s="88">
        <f>H120*D121</f>
        <v>238.95</v>
      </c>
      <c r="I121" s="88">
        <f>I120*D121</f>
        <v>238.95</v>
      </c>
      <c r="J121" s="88">
        <f>J120*D121</f>
        <v>412.96</v>
      </c>
      <c r="K121" s="106">
        <f>K120*D121</f>
        <v>223.58</v>
      </c>
      <c r="L121" s="106">
        <f>L120*D121</f>
        <v>153.22</v>
      </c>
      <c r="M121" s="106">
        <f>M120*D121</f>
        <v>296.58</v>
      </c>
      <c r="N121" s="29"/>
      <c r="O121" s="29"/>
      <c r="P121" s="86">
        <f>VLOOKUP(B121,'Форма КП'!$B$27:$G$49,5,FALSE)</f>
        <v>0</v>
      </c>
      <c r="Q121" s="86">
        <f t="shared" ref="Q121" si="60">P121*F121</f>
        <v>0</v>
      </c>
      <c r="R121" s="32">
        <f t="shared" ref="R121:R123" si="61">P121</f>
        <v>0</v>
      </c>
      <c r="S121" s="32">
        <f t="shared" ref="S121" si="62">P121*F121</f>
        <v>0</v>
      </c>
    </row>
    <row r="122" spans="1:19" x14ac:dyDescent="0.25">
      <c r="A122" s="132" t="s">
        <v>242</v>
      </c>
      <c r="B122" s="128" t="s">
        <v>488</v>
      </c>
      <c r="C122" s="133" t="s">
        <v>489</v>
      </c>
      <c r="D122" s="90">
        <v>0.2</v>
      </c>
      <c r="E122" s="132" t="s">
        <v>228</v>
      </c>
      <c r="F122" s="134">
        <f t="shared" si="33"/>
        <v>225.11</v>
      </c>
      <c r="G122" s="88">
        <f>G120*D122</f>
        <v>9.35</v>
      </c>
      <c r="H122" s="88">
        <f>H120*D122</f>
        <v>32.96</v>
      </c>
      <c r="I122" s="88">
        <f>I120*D122</f>
        <v>32.96</v>
      </c>
      <c r="J122" s="88">
        <f>J120*D122</f>
        <v>56.96</v>
      </c>
      <c r="K122" s="106">
        <f>(61.37*3-3.8*2.1-5.6*1.7-5.4*2.3)*D122</f>
        <v>30.84</v>
      </c>
      <c r="L122" s="106">
        <f>(41.64*3-4*2.1-3.95*1.7-1.8*2.3)*D122</f>
        <v>21.13</v>
      </c>
      <c r="M122" s="106">
        <f>(76.61*3-11.24*1.7-3.6*2.3+3*0.7)*D122</f>
        <v>40.909999999999997</v>
      </c>
      <c r="N122" s="29"/>
      <c r="O122" s="29"/>
      <c r="P122" s="49" t="str">
        <f>VLOOKUP(B122,'Форма КП'!$B$27:$G$49,5,FALSE)</f>
        <v>Материал заказчика</v>
      </c>
      <c r="Q122" s="50"/>
      <c r="R122" s="49" t="str">
        <f t="shared" si="61"/>
        <v>Материал заказчика</v>
      </c>
      <c r="S122" s="50"/>
    </row>
    <row r="123" spans="1:19" x14ac:dyDescent="0.25">
      <c r="A123" s="132" t="s">
        <v>244</v>
      </c>
      <c r="B123" s="128" t="s">
        <v>511</v>
      </c>
      <c r="C123" s="133" t="s">
        <v>512</v>
      </c>
      <c r="D123" s="90">
        <v>16</v>
      </c>
      <c r="E123" s="132" t="s">
        <v>228</v>
      </c>
      <c r="F123" s="134">
        <f t="shared" si="33"/>
        <v>18008.48</v>
      </c>
      <c r="G123" s="88">
        <f>G120*D123</f>
        <v>748</v>
      </c>
      <c r="H123" s="88">
        <f>H120*D123</f>
        <v>2636.64</v>
      </c>
      <c r="I123" s="88">
        <f>I120*D123</f>
        <v>2636.64</v>
      </c>
      <c r="J123" s="88">
        <f>J120*D123</f>
        <v>4556.8</v>
      </c>
      <c r="K123" s="106">
        <f>K120*D123</f>
        <v>2467.04</v>
      </c>
      <c r="L123" s="106">
        <f>L120*D123</f>
        <v>1690.72</v>
      </c>
      <c r="M123" s="106">
        <f>M120*D123</f>
        <v>3272.64</v>
      </c>
      <c r="N123" s="29"/>
      <c r="O123" s="29"/>
      <c r="P123" s="49" t="str">
        <f>VLOOKUP(B123,'Форма КП'!$B$27:$G$49,5,FALSE)</f>
        <v>Материал заказчика</v>
      </c>
      <c r="Q123" s="50"/>
      <c r="R123" s="49" t="str">
        <f t="shared" si="61"/>
        <v>Материал заказчика</v>
      </c>
      <c r="S123" s="50"/>
    </row>
    <row r="124" spans="1:19" ht="216" x14ac:dyDescent="0.25">
      <c r="A124" s="127" t="s">
        <v>245</v>
      </c>
      <c r="B124" s="128" t="s">
        <v>510</v>
      </c>
      <c r="C124" s="129" t="s">
        <v>776</v>
      </c>
      <c r="D124" s="130"/>
      <c r="E124" s="127" t="s">
        <v>224</v>
      </c>
      <c r="F124" s="131">
        <f t="shared" si="33"/>
        <v>1130.92</v>
      </c>
      <c r="G124" s="113">
        <f>10.1*3+2.4*0.9+1.8*0.72</f>
        <v>33.76</v>
      </c>
      <c r="H124" s="113">
        <f>51.51*3+11.4*0.9</f>
        <v>164.79</v>
      </c>
      <c r="I124" s="113">
        <f>51.51*3+11.4*0.9</f>
        <v>164.79</v>
      </c>
      <c r="J124" s="113">
        <f>102.6*3+19*0.9</f>
        <v>324.89999999999998</v>
      </c>
      <c r="K124" s="116">
        <f>60.14*3-9.8*2.1</f>
        <v>159.84</v>
      </c>
      <c r="L124" s="116">
        <f>45.23*3-9.6*2.1</f>
        <v>115.53</v>
      </c>
      <c r="M124" s="116">
        <f>62.63*3-9.8*2.1</f>
        <v>167.31</v>
      </c>
      <c r="N124" s="104">
        <f>VLOOKUP(B124,'Форма КП'!$B$17:$G$25,5,FALSE)</f>
        <v>0</v>
      </c>
      <c r="O124" s="104">
        <f>N124*F124</f>
        <v>0</v>
      </c>
      <c r="P124" s="104"/>
      <c r="Q124" s="104"/>
      <c r="R124" s="104">
        <f>N124</f>
        <v>0</v>
      </c>
      <c r="S124" s="104">
        <f>N124*F124</f>
        <v>0</v>
      </c>
    </row>
    <row r="125" spans="1:19" x14ac:dyDescent="0.25">
      <c r="A125" s="132" t="s">
        <v>246</v>
      </c>
      <c r="B125" s="128" t="s">
        <v>486</v>
      </c>
      <c r="C125" s="133" t="s">
        <v>487</v>
      </c>
      <c r="D125" s="90">
        <v>1.45</v>
      </c>
      <c r="E125" s="132" t="s">
        <v>6</v>
      </c>
      <c r="F125" s="134">
        <f t="shared" si="33"/>
        <v>1639.85</v>
      </c>
      <c r="G125" s="88">
        <f>G124*D125</f>
        <v>48.95</v>
      </c>
      <c r="H125" s="88">
        <f>H124*D125</f>
        <v>238.95</v>
      </c>
      <c r="I125" s="88">
        <f>I124*D125</f>
        <v>238.95</v>
      </c>
      <c r="J125" s="88">
        <f>J124*D125</f>
        <v>471.11</v>
      </c>
      <c r="K125" s="106">
        <f>K124*D125</f>
        <v>231.77</v>
      </c>
      <c r="L125" s="106">
        <f>L124*D125</f>
        <v>167.52</v>
      </c>
      <c r="M125" s="106">
        <f>M124*D125</f>
        <v>242.6</v>
      </c>
      <c r="N125" s="29"/>
      <c r="O125" s="29"/>
      <c r="P125" s="86">
        <f>VLOOKUP(B125,'Форма КП'!$B$27:$G$49,5,FALSE)</f>
        <v>0</v>
      </c>
      <c r="Q125" s="86">
        <f t="shared" ref="Q125" si="63">P125*F125</f>
        <v>0</v>
      </c>
      <c r="R125" s="32">
        <f t="shared" ref="R125:R127" si="64">P125</f>
        <v>0</v>
      </c>
      <c r="S125" s="32">
        <f t="shared" ref="S125" si="65">P125*F125</f>
        <v>0</v>
      </c>
    </row>
    <row r="126" spans="1:19" x14ac:dyDescent="0.25">
      <c r="A126" s="132" t="s">
        <v>247</v>
      </c>
      <c r="B126" s="128" t="s">
        <v>484</v>
      </c>
      <c r="C126" s="133" t="s">
        <v>225</v>
      </c>
      <c r="D126" s="90">
        <v>0.4</v>
      </c>
      <c r="E126" s="132" t="s">
        <v>226</v>
      </c>
      <c r="F126" s="134">
        <f t="shared" si="33"/>
        <v>452.37</v>
      </c>
      <c r="G126" s="88">
        <f>G124*D126</f>
        <v>13.5</v>
      </c>
      <c r="H126" s="88">
        <f>H124*D126</f>
        <v>65.92</v>
      </c>
      <c r="I126" s="88">
        <f>I124*D126</f>
        <v>65.92</v>
      </c>
      <c r="J126" s="88">
        <f>J124*D126</f>
        <v>129.96</v>
      </c>
      <c r="K126" s="106">
        <f>(60.14*3-9.8*2.1)*D126</f>
        <v>63.94</v>
      </c>
      <c r="L126" s="106">
        <f>(45.23*3-9.6*2.1)*D126</f>
        <v>46.21</v>
      </c>
      <c r="M126" s="106">
        <f>(62.63*3-9.8*2.1)*D126</f>
        <v>66.92</v>
      </c>
      <c r="N126" s="29"/>
      <c r="O126" s="29"/>
      <c r="P126" s="49" t="str">
        <f>VLOOKUP(B126,'Форма КП'!$B$27:$G$49,5,FALSE)</f>
        <v>Материал заказчика</v>
      </c>
      <c r="Q126" s="50"/>
      <c r="R126" s="49" t="str">
        <f t="shared" si="64"/>
        <v>Материал заказчика</v>
      </c>
      <c r="S126" s="50"/>
    </row>
    <row r="127" spans="1:19" x14ac:dyDescent="0.25">
      <c r="A127" s="132" t="s">
        <v>248</v>
      </c>
      <c r="B127" s="128" t="s">
        <v>511</v>
      </c>
      <c r="C127" s="133" t="s">
        <v>512</v>
      </c>
      <c r="D127" s="90">
        <v>16</v>
      </c>
      <c r="E127" s="132" t="s">
        <v>228</v>
      </c>
      <c r="F127" s="134">
        <f t="shared" si="33"/>
        <v>18094.72</v>
      </c>
      <c r="G127" s="88">
        <f>G124*D127</f>
        <v>540.16</v>
      </c>
      <c r="H127" s="88">
        <f>H124*D127</f>
        <v>2636.64</v>
      </c>
      <c r="I127" s="88">
        <f>I124*D127</f>
        <v>2636.64</v>
      </c>
      <c r="J127" s="88">
        <f>J124*D127</f>
        <v>5198.3999999999996</v>
      </c>
      <c r="K127" s="106">
        <f>K124*D127</f>
        <v>2557.44</v>
      </c>
      <c r="L127" s="106">
        <f>L124*D127</f>
        <v>1848.48</v>
      </c>
      <c r="M127" s="106">
        <f>M124*D127</f>
        <v>2676.96</v>
      </c>
      <c r="N127" s="29"/>
      <c r="O127" s="29"/>
      <c r="P127" s="49" t="str">
        <f>VLOOKUP(B127,'Форма КП'!$B$27:$G$49,5,FALSE)</f>
        <v>Материал заказчика</v>
      </c>
      <c r="Q127" s="50"/>
      <c r="R127" s="49" t="str">
        <f t="shared" si="64"/>
        <v>Материал заказчика</v>
      </c>
      <c r="S127" s="50"/>
    </row>
    <row r="128" spans="1:19" ht="132" x14ac:dyDescent="0.25">
      <c r="A128" s="127" t="s">
        <v>249</v>
      </c>
      <c r="B128" s="128" t="s">
        <v>481</v>
      </c>
      <c r="C128" s="129" t="s">
        <v>778</v>
      </c>
      <c r="D128" s="130"/>
      <c r="E128" s="127" t="s">
        <v>224</v>
      </c>
      <c r="F128" s="131">
        <f t="shared" si="33"/>
        <v>673.56</v>
      </c>
      <c r="G128" s="116">
        <f>G120+G124</f>
        <v>80.510000000000005</v>
      </c>
      <c r="H128" s="118"/>
      <c r="I128" s="118"/>
      <c r="J128" s="118"/>
      <c r="K128" s="116"/>
      <c r="L128" s="116">
        <f>L124+L120</f>
        <v>221.2</v>
      </c>
      <c r="M128" s="116">
        <f>M124+M120</f>
        <v>371.85</v>
      </c>
      <c r="N128" s="104">
        <f>VLOOKUP(B128,'Форма КП'!$B$17:$G$25,5,FALSE)</f>
        <v>0</v>
      </c>
      <c r="O128" s="104">
        <f>N128*F128</f>
        <v>0</v>
      </c>
      <c r="P128" s="104"/>
      <c r="Q128" s="104"/>
      <c r="R128" s="104">
        <f>N128</f>
        <v>0</v>
      </c>
      <c r="S128" s="104">
        <f>N128*F128</f>
        <v>0</v>
      </c>
    </row>
    <row r="129" spans="1:19" x14ac:dyDescent="0.25">
      <c r="A129" s="132" t="s">
        <v>250</v>
      </c>
      <c r="B129" s="128" t="s">
        <v>482</v>
      </c>
      <c r="C129" s="133" t="s">
        <v>483</v>
      </c>
      <c r="D129" s="136">
        <v>2.4</v>
      </c>
      <c r="E129" s="132" t="s">
        <v>228</v>
      </c>
      <c r="F129" s="134">
        <f t="shared" si="33"/>
        <v>1616.54</v>
      </c>
      <c r="G129" s="88">
        <f>G128*D129</f>
        <v>193.22</v>
      </c>
      <c r="H129" s="88">
        <f>H128*D129</f>
        <v>0</v>
      </c>
      <c r="I129" s="88">
        <f>I128*D129</f>
        <v>0</v>
      </c>
      <c r="J129" s="88">
        <f>J128*D129</f>
        <v>0</v>
      </c>
      <c r="K129" s="106">
        <f>K128*D129</f>
        <v>0</v>
      </c>
      <c r="L129" s="106">
        <f>L128*D129</f>
        <v>530.88</v>
      </c>
      <c r="M129" s="106">
        <f>M128*D129</f>
        <v>892.44</v>
      </c>
      <c r="N129" s="29"/>
      <c r="O129" s="29"/>
      <c r="P129" s="49" t="str">
        <f>VLOOKUP(B129,'Форма КП'!$B$27:$G$49,5,FALSE)</f>
        <v>Материал заказчика</v>
      </c>
      <c r="Q129" s="50"/>
      <c r="R129" s="49" t="str">
        <f t="shared" ref="R129:R130" si="66">P129</f>
        <v>Материал заказчика</v>
      </c>
      <c r="S129" s="50"/>
    </row>
    <row r="130" spans="1:19" x14ac:dyDescent="0.25">
      <c r="A130" s="132" t="s">
        <v>251</v>
      </c>
      <c r="B130" s="128" t="s">
        <v>484</v>
      </c>
      <c r="C130" s="133" t="s">
        <v>225</v>
      </c>
      <c r="D130" s="136">
        <v>0.15</v>
      </c>
      <c r="E130" s="132" t="s">
        <v>226</v>
      </c>
      <c r="F130" s="134">
        <f t="shared" si="33"/>
        <v>101.04</v>
      </c>
      <c r="G130" s="88">
        <f>G128*D130</f>
        <v>12.08</v>
      </c>
      <c r="H130" s="88">
        <f>H128*D130</f>
        <v>0</v>
      </c>
      <c r="I130" s="88">
        <f>I128*D130</f>
        <v>0</v>
      </c>
      <c r="J130" s="88">
        <f>J128*D130</f>
        <v>0</v>
      </c>
      <c r="K130" s="106">
        <f>K128*D130</f>
        <v>0</v>
      </c>
      <c r="L130" s="106">
        <f>L128*D130</f>
        <v>33.18</v>
      </c>
      <c r="M130" s="106">
        <f>M128*D130</f>
        <v>55.78</v>
      </c>
      <c r="N130" s="29"/>
      <c r="O130" s="29"/>
      <c r="P130" s="49" t="str">
        <f>VLOOKUP(B130,'Форма КП'!$B$27:$G$49,5,FALSE)</f>
        <v>Материал заказчика</v>
      </c>
      <c r="Q130" s="50"/>
      <c r="R130" s="49" t="str">
        <f t="shared" si="66"/>
        <v>Материал заказчика</v>
      </c>
      <c r="S130" s="50"/>
    </row>
    <row r="131" spans="1:19" ht="264" x14ac:dyDescent="0.25">
      <c r="A131" s="127" t="s">
        <v>252</v>
      </c>
      <c r="B131" s="128" t="s">
        <v>474</v>
      </c>
      <c r="C131" s="129" t="s">
        <v>782</v>
      </c>
      <c r="D131" s="130"/>
      <c r="E131" s="127" t="s">
        <v>224</v>
      </c>
      <c r="F131" s="131">
        <f t="shared" si="33"/>
        <v>22.3</v>
      </c>
      <c r="G131" s="115">
        <f>1.24*3.05</f>
        <v>3.78</v>
      </c>
      <c r="H131" s="115">
        <v>0</v>
      </c>
      <c r="I131" s="115">
        <v>0</v>
      </c>
      <c r="J131" s="115">
        <v>0</v>
      </c>
      <c r="K131" s="115">
        <v>0</v>
      </c>
      <c r="L131" s="115">
        <f>2.33*3.05</f>
        <v>7.11</v>
      </c>
      <c r="M131" s="115">
        <f>1.17*3.05+2.52*3.11</f>
        <v>11.41</v>
      </c>
      <c r="N131" s="104">
        <f>VLOOKUP(B131,'Форма КП'!$B$17:$G$25,5,FALSE)</f>
        <v>0</v>
      </c>
      <c r="O131" s="104">
        <f>N131*F131</f>
        <v>0</v>
      </c>
      <c r="P131" s="104"/>
      <c r="Q131" s="104"/>
      <c r="R131" s="104">
        <f>N131</f>
        <v>0</v>
      </c>
      <c r="S131" s="104">
        <f>N131*F131</f>
        <v>0</v>
      </c>
    </row>
    <row r="132" spans="1:19" x14ac:dyDescent="0.25">
      <c r="A132" s="132" t="s">
        <v>253</v>
      </c>
      <c r="B132" s="128" t="s">
        <v>524</v>
      </c>
      <c r="C132" s="133" t="s">
        <v>525</v>
      </c>
      <c r="D132" s="90">
        <v>2.25</v>
      </c>
      <c r="E132" s="132" t="s">
        <v>224</v>
      </c>
      <c r="F132" s="134">
        <f t="shared" si="33"/>
        <v>50.18</v>
      </c>
      <c r="G132" s="88">
        <f>G131*D132</f>
        <v>8.51</v>
      </c>
      <c r="H132" s="88">
        <f>H131*D132</f>
        <v>0</v>
      </c>
      <c r="I132" s="88">
        <f>I131*D132</f>
        <v>0</v>
      </c>
      <c r="J132" s="88">
        <f>J131*D132</f>
        <v>0</v>
      </c>
      <c r="K132" s="106">
        <f>K131*D132</f>
        <v>0</v>
      </c>
      <c r="L132" s="106">
        <f>L131*D132</f>
        <v>16</v>
      </c>
      <c r="M132" s="106">
        <f>M131*D132</f>
        <v>25.67</v>
      </c>
      <c r="N132" s="29"/>
      <c r="O132" s="29"/>
      <c r="P132" s="86">
        <f>VLOOKUP(B132,'Форма КП'!$B$27:$G$49,5,FALSE)</f>
        <v>0</v>
      </c>
      <c r="Q132" s="86">
        <f t="shared" ref="Q132:Q134" si="67">P132*F132</f>
        <v>0</v>
      </c>
      <c r="R132" s="32">
        <f t="shared" ref="R132:R134" si="68">P132</f>
        <v>0</v>
      </c>
      <c r="S132" s="32">
        <f t="shared" ref="S132:S134" si="69">P132*F132</f>
        <v>0</v>
      </c>
    </row>
    <row r="133" spans="1:19" x14ac:dyDescent="0.25">
      <c r="A133" s="132" t="s">
        <v>254</v>
      </c>
      <c r="B133" s="128" t="s">
        <v>477</v>
      </c>
      <c r="C133" s="133" t="s">
        <v>478</v>
      </c>
      <c r="D133" s="90">
        <v>0.86</v>
      </c>
      <c r="E133" s="132" t="s">
        <v>6</v>
      </c>
      <c r="F133" s="134">
        <f t="shared" si="33"/>
        <v>19.170000000000002</v>
      </c>
      <c r="G133" s="88">
        <f>G131*D133</f>
        <v>3.25</v>
      </c>
      <c r="H133" s="88">
        <f>H131*D133</f>
        <v>0</v>
      </c>
      <c r="I133" s="88">
        <f>I131*D133</f>
        <v>0</v>
      </c>
      <c r="J133" s="88">
        <f>J131*D133</f>
        <v>0</v>
      </c>
      <c r="K133" s="106">
        <f>K131*D133</f>
        <v>0</v>
      </c>
      <c r="L133" s="106">
        <f>L131*D133</f>
        <v>6.11</v>
      </c>
      <c r="M133" s="106">
        <f>M131*D133</f>
        <v>9.81</v>
      </c>
      <c r="N133" s="29"/>
      <c r="O133" s="29"/>
      <c r="P133" s="86">
        <f>VLOOKUP(B133,'Форма КП'!$B$27:$G$49,5,FALSE)</f>
        <v>0</v>
      </c>
      <c r="Q133" s="86">
        <f t="shared" si="67"/>
        <v>0</v>
      </c>
      <c r="R133" s="32">
        <f t="shared" si="68"/>
        <v>0</v>
      </c>
      <c r="S133" s="32">
        <f t="shared" si="69"/>
        <v>0</v>
      </c>
    </row>
    <row r="134" spans="1:19" x14ac:dyDescent="0.25">
      <c r="A134" s="132" t="s">
        <v>255</v>
      </c>
      <c r="B134" s="128" t="s">
        <v>479</v>
      </c>
      <c r="C134" s="133" t="s">
        <v>480</v>
      </c>
      <c r="D134" s="90">
        <v>2.34</v>
      </c>
      <c r="E134" s="132" t="s">
        <v>6</v>
      </c>
      <c r="F134" s="134">
        <f t="shared" si="33"/>
        <v>52.19</v>
      </c>
      <c r="G134" s="88">
        <f>G131*D134</f>
        <v>8.85</v>
      </c>
      <c r="H134" s="88">
        <f>H131*D134</f>
        <v>0</v>
      </c>
      <c r="I134" s="88">
        <f>I131*D134</f>
        <v>0</v>
      </c>
      <c r="J134" s="88">
        <f>J131*D134</f>
        <v>0</v>
      </c>
      <c r="K134" s="106">
        <f>K131*D134</f>
        <v>0</v>
      </c>
      <c r="L134" s="106">
        <f>L131*D134</f>
        <v>16.64</v>
      </c>
      <c r="M134" s="106">
        <f>M131*D134</f>
        <v>26.7</v>
      </c>
      <c r="N134" s="29"/>
      <c r="O134" s="29"/>
      <c r="P134" s="86">
        <f>VLOOKUP(B134,'Форма КП'!$B$27:$G$49,5,FALSE)</f>
        <v>0</v>
      </c>
      <c r="Q134" s="86">
        <f t="shared" si="67"/>
        <v>0</v>
      </c>
      <c r="R134" s="32">
        <f t="shared" si="68"/>
        <v>0</v>
      </c>
      <c r="S134" s="32">
        <f t="shared" si="69"/>
        <v>0</v>
      </c>
    </row>
    <row r="135" spans="1:19" x14ac:dyDescent="0.25">
      <c r="A135" s="119" t="s">
        <v>233</v>
      </c>
      <c r="B135" s="120"/>
      <c r="C135" s="121"/>
      <c r="D135" s="122"/>
      <c r="E135" s="123"/>
      <c r="F135" s="124"/>
      <c r="G135" s="125"/>
      <c r="H135" s="125"/>
      <c r="I135" s="125"/>
      <c r="J135" s="125"/>
      <c r="K135" s="125"/>
      <c r="L135" s="125"/>
      <c r="M135" s="125"/>
      <c r="N135" s="33"/>
      <c r="O135" s="33"/>
      <c r="P135" s="33"/>
      <c r="Q135" s="33"/>
      <c r="R135" s="33"/>
      <c r="S135" s="31"/>
    </row>
    <row r="136" spans="1:19" x14ac:dyDescent="0.25">
      <c r="A136" s="126" t="s">
        <v>223</v>
      </c>
      <c r="B136" s="120"/>
      <c r="C136" s="121"/>
      <c r="D136" s="122"/>
      <c r="E136" s="123"/>
      <c r="F136" s="124"/>
      <c r="G136" s="125"/>
      <c r="H136" s="125"/>
      <c r="I136" s="125"/>
      <c r="J136" s="125"/>
      <c r="K136" s="125"/>
      <c r="L136" s="125"/>
      <c r="M136" s="125"/>
      <c r="N136" s="33"/>
      <c r="O136" s="33"/>
      <c r="P136" s="33"/>
      <c r="Q136" s="33"/>
      <c r="R136" s="33"/>
      <c r="S136" s="31"/>
    </row>
    <row r="137" spans="1:19" ht="264" x14ac:dyDescent="0.25">
      <c r="A137" s="127" t="s">
        <v>256</v>
      </c>
      <c r="B137" s="128" t="s">
        <v>474</v>
      </c>
      <c r="C137" s="129" t="s">
        <v>782</v>
      </c>
      <c r="D137" s="130"/>
      <c r="E137" s="127" t="s">
        <v>224</v>
      </c>
      <c r="F137" s="131">
        <f t="shared" ref="F137:F178" si="70">SUM(G137:M137)</f>
        <v>187.58</v>
      </c>
      <c r="G137" s="113">
        <f>6.46*2.81-2.4*2.3+4.94*2.81</f>
        <v>26.51</v>
      </c>
      <c r="H137" s="113">
        <f>6.46*2.81-2.4*2.3+5.1*2.81</f>
        <v>26.96</v>
      </c>
      <c r="I137" s="113">
        <f>6.46*2.81-2.4*2.3+5.1*2.81</f>
        <v>26.96</v>
      </c>
      <c r="J137" s="113">
        <f>6.46*2.81-2.4*2.3+5.02*2.81</f>
        <v>26.74</v>
      </c>
      <c r="K137" s="113">
        <f>6.46*2.81-2.4*2.3+5.1*2.81</f>
        <v>26.96</v>
      </c>
      <c r="L137" s="113">
        <f>6.46*2.81-2.4*2.3+4.93*2.81</f>
        <v>26.49</v>
      </c>
      <c r="M137" s="113">
        <f>6.46*2.81-2.4*2.3+5.1*2.81</f>
        <v>26.96</v>
      </c>
      <c r="N137" s="104">
        <f>VLOOKUP(B137,'Форма КП'!$B$17:$G$25,5,FALSE)</f>
        <v>0</v>
      </c>
      <c r="O137" s="104">
        <f>N137*F137</f>
        <v>0</v>
      </c>
      <c r="P137" s="104"/>
      <c r="Q137" s="104"/>
      <c r="R137" s="104">
        <f>N137</f>
        <v>0</v>
      </c>
      <c r="S137" s="104">
        <f>N137*F137</f>
        <v>0</v>
      </c>
    </row>
    <row r="138" spans="1:19" x14ac:dyDescent="0.25">
      <c r="A138" s="132" t="s">
        <v>257</v>
      </c>
      <c r="B138" s="128" t="s">
        <v>475</v>
      </c>
      <c r="C138" s="133" t="s">
        <v>476</v>
      </c>
      <c r="D138" s="90">
        <v>2.25</v>
      </c>
      <c r="E138" s="132" t="s">
        <v>224</v>
      </c>
      <c r="F138" s="134">
        <f t="shared" si="70"/>
        <v>422.06</v>
      </c>
      <c r="G138" s="88">
        <f>G137*D138</f>
        <v>59.65</v>
      </c>
      <c r="H138" s="88">
        <f>H137*D138</f>
        <v>60.66</v>
      </c>
      <c r="I138" s="88">
        <f>I137*D138</f>
        <v>60.66</v>
      </c>
      <c r="J138" s="88">
        <f>J137*D138</f>
        <v>60.17</v>
      </c>
      <c r="K138" s="88">
        <f>K137*D138</f>
        <v>60.66</v>
      </c>
      <c r="L138" s="88">
        <f>L137*D138</f>
        <v>59.6</v>
      </c>
      <c r="M138" s="88">
        <f>M137*D138</f>
        <v>60.66</v>
      </c>
      <c r="N138" s="29"/>
      <c r="O138" s="29"/>
      <c r="P138" s="86">
        <f>VLOOKUP(B138,'Форма КП'!$B$27:$G$49,5,FALSE)</f>
        <v>0</v>
      </c>
      <c r="Q138" s="86">
        <f t="shared" ref="Q138:Q140" si="71">P138*F138</f>
        <v>0</v>
      </c>
      <c r="R138" s="32">
        <f t="shared" ref="R138:R140" si="72">P138</f>
        <v>0</v>
      </c>
      <c r="S138" s="32">
        <f t="shared" ref="S138:S140" si="73">P138*F138</f>
        <v>0</v>
      </c>
    </row>
    <row r="139" spans="1:19" x14ac:dyDescent="0.25">
      <c r="A139" s="132" t="s">
        <v>258</v>
      </c>
      <c r="B139" s="128" t="s">
        <v>477</v>
      </c>
      <c r="C139" s="133" t="s">
        <v>478</v>
      </c>
      <c r="D139" s="90">
        <v>0.86</v>
      </c>
      <c r="E139" s="132" t="s">
        <v>6</v>
      </c>
      <c r="F139" s="134">
        <f t="shared" si="70"/>
        <v>161.34</v>
      </c>
      <c r="G139" s="88">
        <f>G137*D139</f>
        <v>22.8</v>
      </c>
      <c r="H139" s="88">
        <f>H137*D139</f>
        <v>23.19</v>
      </c>
      <c r="I139" s="88">
        <f>I137*D139</f>
        <v>23.19</v>
      </c>
      <c r="J139" s="88">
        <f>J137*D139</f>
        <v>23</v>
      </c>
      <c r="K139" s="88">
        <f>K137*D139</f>
        <v>23.19</v>
      </c>
      <c r="L139" s="88">
        <f>L137*D139</f>
        <v>22.78</v>
      </c>
      <c r="M139" s="88">
        <f>M137*D139</f>
        <v>23.19</v>
      </c>
      <c r="N139" s="29"/>
      <c r="O139" s="29"/>
      <c r="P139" s="86">
        <f>VLOOKUP(B139,'Форма КП'!$B$27:$G$49,5,FALSE)</f>
        <v>0</v>
      </c>
      <c r="Q139" s="86">
        <f t="shared" si="71"/>
        <v>0</v>
      </c>
      <c r="R139" s="32">
        <f t="shared" si="72"/>
        <v>0</v>
      </c>
      <c r="S139" s="32">
        <f t="shared" si="73"/>
        <v>0</v>
      </c>
    </row>
    <row r="140" spans="1:19" x14ac:dyDescent="0.25">
      <c r="A140" s="132" t="s">
        <v>259</v>
      </c>
      <c r="B140" s="128" t="s">
        <v>479</v>
      </c>
      <c r="C140" s="133" t="s">
        <v>480</v>
      </c>
      <c r="D140" s="90">
        <v>2.34</v>
      </c>
      <c r="E140" s="132" t="s">
        <v>6</v>
      </c>
      <c r="F140" s="134">
        <f t="shared" si="70"/>
        <v>438.95</v>
      </c>
      <c r="G140" s="88">
        <f>G137*D140</f>
        <v>62.03</v>
      </c>
      <c r="H140" s="88">
        <f>H137*D140</f>
        <v>63.09</v>
      </c>
      <c r="I140" s="88">
        <f>I137*D140</f>
        <v>63.09</v>
      </c>
      <c r="J140" s="88">
        <f>J137*D140</f>
        <v>62.57</v>
      </c>
      <c r="K140" s="88">
        <f>K137*D140</f>
        <v>63.09</v>
      </c>
      <c r="L140" s="88">
        <f>L137*D140</f>
        <v>61.99</v>
      </c>
      <c r="M140" s="88">
        <f>M137*D140</f>
        <v>63.09</v>
      </c>
      <c r="N140" s="29"/>
      <c r="O140" s="29"/>
      <c r="P140" s="86">
        <f>VLOOKUP(B140,'Форма КП'!$B$27:$G$49,5,FALSE)</f>
        <v>0</v>
      </c>
      <c r="Q140" s="86">
        <f t="shared" si="71"/>
        <v>0</v>
      </c>
      <c r="R140" s="32">
        <f t="shared" si="72"/>
        <v>0</v>
      </c>
      <c r="S140" s="32">
        <f t="shared" si="73"/>
        <v>0</v>
      </c>
    </row>
    <row r="141" spans="1:19" ht="216" x14ac:dyDescent="0.25">
      <c r="A141" s="127" t="s">
        <v>260</v>
      </c>
      <c r="B141" s="128" t="s">
        <v>510</v>
      </c>
      <c r="C141" s="129" t="s">
        <v>776</v>
      </c>
      <c r="D141" s="130"/>
      <c r="E141" s="127" t="s">
        <v>224</v>
      </c>
      <c r="F141" s="131">
        <f t="shared" si="70"/>
        <v>767.22</v>
      </c>
      <c r="G141" s="113">
        <f>(64.23-2)*2.7-12.99*2.1-1.37*1.7</f>
        <v>138.41</v>
      </c>
      <c r="H141" s="113">
        <f>(45.78-2)*2.7-8.2*2.1-3.05*1.7</f>
        <v>95.8</v>
      </c>
      <c r="I141" s="113">
        <f>(45.78-2)*2.7-8.2*2.1-3.05*1.7</f>
        <v>95.8</v>
      </c>
      <c r="J141" s="113">
        <f>(58-2)*2.7-11.99*2.1-1.37*1.7</f>
        <v>123.69</v>
      </c>
      <c r="K141" s="113">
        <f>(45.79-2)*2.7-8.2*2.1-3.05*1.7</f>
        <v>95.83</v>
      </c>
      <c r="L141" s="113">
        <f>(55.94-2)*2.7-10.2*2.1-1.37*1.7</f>
        <v>121.89</v>
      </c>
      <c r="M141" s="113">
        <f>(45.78-2)*2.7-3.05*1.7-8.2*2.1</f>
        <v>95.8</v>
      </c>
      <c r="N141" s="104">
        <f>VLOOKUP(B141,'Форма КП'!$B$17:$G$25,5,FALSE)</f>
        <v>0</v>
      </c>
      <c r="O141" s="104">
        <f>N141*F141</f>
        <v>0</v>
      </c>
      <c r="P141" s="104"/>
      <c r="Q141" s="104"/>
      <c r="R141" s="104">
        <f>N141</f>
        <v>0</v>
      </c>
      <c r="S141" s="104">
        <f>N141*F141</f>
        <v>0</v>
      </c>
    </row>
    <row r="142" spans="1:19" x14ac:dyDescent="0.25">
      <c r="A142" s="132" t="s">
        <v>261</v>
      </c>
      <c r="B142" s="128" t="s">
        <v>486</v>
      </c>
      <c r="C142" s="133" t="s">
        <v>487</v>
      </c>
      <c r="D142" s="90">
        <v>1.45</v>
      </c>
      <c r="E142" s="132" t="s">
        <v>6</v>
      </c>
      <c r="F142" s="134">
        <f t="shared" si="70"/>
        <v>1112.46</v>
      </c>
      <c r="G142" s="88">
        <f>G141*D142</f>
        <v>200.69</v>
      </c>
      <c r="H142" s="88">
        <f>H141*D142</f>
        <v>138.91</v>
      </c>
      <c r="I142" s="88">
        <f>I141*D142</f>
        <v>138.91</v>
      </c>
      <c r="J142" s="88">
        <f>J141*D142</f>
        <v>179.35</v>
      </c>
      <c r="K142" s="88">
        <f>K141*D142</f>
        <v>138.94999999999999</v>
      </c>
      <c r="L142" s="88">
        <f>L141*D142</f>
        <v>176.74</v>
      </c>
      <c r="M142" s="88">
        <f>M141*D142</f>
        <v>138.91</v>
      </c>
      <c r="N142" s="29"/>
      <c r="O142" s="29"/>
      <c r="P142" s="86">
        <f>VLOOKUP(B142,'Форма КП'!$B$27:$G$49,5,FALSE)</f>
        <v>0</v>
      </c>
      <c r="Q142" s="86">
        <f t="shared" ref="Q142" si="74">P142*F142</f>
        <v>0</v>
      </c>
      <c r="R142" s="32">
        <f t="shared" ref="R142:R144" si="75">P142</f>
        <v>0</v>
      </c>
      <c r="S142" s="32">
        <f t="shared" ref="S142" si="76">P142*F142</f>
        <v>0</v>
      </c>
    </row>
    <row r="143" spans="1:19" x14ac:dyDescent="0.25">
      <c r="A143" s="132" t="s">
        <v>262</v>
      </c>
      <c r="B143" s="128" t="s">
        <v>488</v>
      </c>
      <c r="C143" s="133" t="s">
        <v>489</v>
      </c>
      <c r="D143" s="90">
        <v>0.2</v>
      </c>
      <c r="E143" s="132" t="s">
        <v>228</v>
      </c>
      <c r="F143" s="134">
        <f t="shared" si="70"/>
        <v>155.61000000000001</v>
      </c>
      <c r="G143" s="88">
        <f>((64.23-2)*2.7-12.99*2.1-1.37*1.7)*D143</f>
        <v>27.68</v>
      </c>
      <c r="H143" s="88">
        <f>(45.78*2.7-8.2*2.1-3.05*1.7)*D143</f>
        <v>20.239999999999998</v>
      </c>
      <c r="I143" s="88">
        <f>(45.78*2.7-8.2*2.1-3.05*1.7)*D143</f>
        <v>20.239999999999998</v>
      </c>
      <c r="J143" s="88">
        <f>((58-2)*2.7-11.99*2.1-1.37*1.7)*D143</f>
        <v>24.74</v>
      </c>
      <c r="K143" s="88">
        <f>((45.79-2)*2.7-8.2*2.1-3.05*1.7)*D143</f>
        <v>19.170000000000002</v>
      </c>
      <c r="L143" s="88">
        <f>((55.94-2)*2.7-10.2*2.1-1.37*1.7)*D143</f>
        <v>24.38</v>
      </c>
      <c r="M143" s="88">
        <f>((45.78-2)*2.7-3.05*1.7-8.2*2.1)*D143</f>
        <v>19.16</v>
      </c>
      <c r="N143" s="29"/>
      <c r="O143" s="29"/>
      <c r="P143" s="49" t="str">
        <f>VLOOKUP(B143,'Форма КП'!$B$27:$G$49,5,FALSE)</f>
        <v>Материал заказчика</v>
      </c>
      <c r="Q143" s="50"/>
      <c r="R143" s="49" t="str">
        <f t="shared" si="75"/>
        <v>Материал заказчика</v>
      </c>
      <c r="S143" s="50"/>
    </row>
    <row r="144" spans="1:19" x14ac:dyDescent="0.25">
      <c r="A144" s="132" t="s">
        <v>263</v>
      </c>
      <c r="B144" s="128" t="s">
        <v>511</v>
      </c>
      <c r="C144" s="133" t="s">
        <v>512</v>
      </c>
      <c r="D144" s="90">
        <v>16</v>
      </c>
      <c r="E144" s="132" t="s">
        <v>228</v>
      </c>
      <c r="F144" s="134">
        <f t="shared" si="70"/>
        <v>12275.52</v>
      </c>
      <c r="G144" s="88">
        <f>G141*D144</f>
        <v>2214.56</v>
      </c>
      <c r="H144" s="88">
        <f>H141*D144</f>
        <v>1532.8</v>
      </c>
      <c r="I144" s="88">
        <f>I141*D144</f>
        <v>1532.8</v>
      </c>
      <c r="J144" s="88">
        <f>J141*D144</f>
        <v>1979.04</v>
      </c>
      <c r="K144" s="88">
        <f>K141*D144</f>
        <v>1533.28</v>
      </c>
      <c r="L144" s="88">
        <f>L141*D144</f>
        <v>1950.24</v>
      </c>
      <c r="M144" s="88">
        <f>M141*D144</f>
        <v>1532.8</v>
      </c>
      <c r="N144" s="29"/>
      <c r="O144" s="29"/>
      <c r="P144" s="49" t="str">
        <f>VLOOKUP(B144,'Форма КП'!$B$27:$G$49,5,FALSE)</f>
        <v>Материал заказчика</v>
      </c>
      <c r="Q144" s="50"/>
      <c r="R144" s="49" t="str">
        <f t="shared" si="75"/>
        <v>Материал заказчика</v>
      </c>
      <c r="S144" s="50"/>
    </row>
    <row r="145" spans="1:19" ht="216" x14ac:dyDescent="0.25">
      <c r="A145" s="127" t="s">
        <v>264</v>
      </c>
      <c r="B145" s="128" t="s">
        <v>510</v>
      </c>
      <c r="C145" s="129" t="s">
        <v>776</v>
      </c>
      <c r="D145" s="130"/>
      <c r="E145" s="127" t="s">
        <v>224</v>
      </c>
      <c r="F145" s="131">
        <f t="shared" si="70"/>
        <v>183.61</v>
      </c>
      <c r="G145" s="113">
        <f>12.7*2.7-2*2.1</f>
        <v>30.09</v>
      </c>
      <c r="H145" s="113">
        <f>10.8*2.7-2*2.1</f>
        <v>24.96</v>
      </c>
      <c r="I145" s="113">
        <f>10.8*2.7-2*2.1</f>
        <v>24.96</v>
      </c>
      <c r="J145" s="113">
        <f>13.21*2.7-2*2.1</f>
        <v>31.47</v>
      </c>
      <c r="K145" s="113">
        <f>10.8*2.7-2*2.1</f>
        <v>24.96</v>
      </c>
      <c r="L145" s="113">
        <f>9.78*2.7-2*2.1</f>
        <v>22.21</v>
      </c>
      <c r="M145" s="113">
        <f>10.8*2.7-2*2.1</f>
        <v>24.96</v>
      </c>
      <c r="N145" s="104">
        <f>VLOOKUP(B145,'Форма КП'!$B$17:$G$25,5,FALSE)</f>
        <v>0</v>
      </c>
      <c r="O145" s="104">
        <f>N145*F145</f>
        <v>0</v>
      </c>
      <c r="P145" s="104"/>
      <c r="Q145" s="104"/>
      <c r="R145" s="104">
        <f>N145</f>
        <v>0</v>
      </c>
      <c r="S145" s="104">
        <f>N145*F145</f>
        <v>0</v>
      </c>
    </row>
    <row r="146" spans="1:19" x14ac:dyDescent="0.25">
      <c r="A146" s="132" t="s">
        <v>265</v>
      </c>
      <c r="B146" s="128" t="s">
        <v>486</v>
      </c>
      <c r="C146" s="133" t="s">
        <v>487</v>
      </c>
      <c r="D146" s="90">
        <v>1.45</v>
      </c>
      <c r="E146" s="132" t="s">
        <v>6</v>
      </c>
      <c r="F146" s="134">
        <f t="shared" si="70"/>
        <v>266.22000000000003</v>
      </c>
      <c r="G146" s="88">
        <f>G145*D146</f>
        <v>43.63</v>
      </c>
      <c r="H146" s="88">
        <f>H145*D146</f>
        <v>36.19</v>
      </c>
      <c r="I146" s="88">
        <f>I145*D146</f>
        <v>36.19</v>
      </c>
      <c r="J146" s="88">
        <f>J145*D146</f>
        <v>45.63</v>
      </c>
      <c r="K146" s="88">
        <f>K145*D146</f>
        <v>36.19</v>
      </c>
      <c r="L146" s="88">
        <f>L145*D146</f>
        <v>32.200000000000003</v>
      </c>
      <c r="M146" s="88">
        <f>M145*D146</f>
        <v>36.19</v>
      </c>
      <c r="N146" s="29"/>
      <c r="O146" s="29"/>
      <c r="P146" s="86">
        <f>VLOOKUP(B146,'Форма КП'!$B$27:$G$49,5,FALSE)</f>
        <v>0</v>
      </c>
      <c r="Q146" s="86">
        <f t="shared" ref="Q146" si="77">P146*F146</f>
        <v>0</v>
      </c>
      <c r="R146" s="32">
        <f t="shared" ref="R146:R148" si="78">P146</f>
        <v>0</v>
      </c>
      <c r="S146" s="32">
        <f t="shared" ref="S146" si="79">P146*F146</f>
        <v>0</v>
      </c>
    </row>
    <row r="147" spans="1:19" x14ac:dyDescent="0.25">
      <c r="A147" s="132" t="s">
        <v>266</v>
      </c>
      <c r="B147" s="128" t="s">
        <v>484</v>
      </c>
      <c r="C147" s="133" t="s">
        <v>225</v>
      </c>
      <c r="D147" s="90">
        <v>0.4</v>
      </c>
      <c r="E147" s="132" t="s">
        <v>226</v>
      </c>
      <c r="F147" s="134">
        <f t="shared" si="70"/>
        <v>73.430000000000007</v>
      </c>
      <c r="G147" s="88">
        <f>(12.7*2.7-2*2.1)*D147</f>
        <v>12.04</v>
      </c>
      <c r="H147" s="88">
        <f>(10.8*2.7-2*2.1)*D147</f>
        <v>9.98</v>
      </c>
      <c r="I147" s="88">
        <f>(10.8*2.7-2*2.1)*D147</f>
        <v>9.98</v>
      </c>
      <c r="J147" s="88">
        <f>(13.21*2.7-2*2.1)*D147</f>
        <v>12.59</v>
      </c>
      <c r="K147" s="88">
        <f>(10.8*2.7-2*2.1)*D147</f>
        <v>9.98</v>
      </c>
      <c r="L147" s="88">
        <f>(9.78*2.7-2*2.1)*D147</f>
        <v>8.8800000000000008</v>
      </c>
      <c r="M147" s="88">
        <f>(10.8*2.7-2*2.1)*D147</f>
        <v>9.98</v>
      </c>
      <c r="N147" s="29"/>
      <c r="O147" s="29"/>
      <c r="P147" s="49" t="str">
        <f>VLOOKUP(B147,'Форма КП'!$B$27:$G$49,5,FALSE)</f>
        <v>Материал заказчика</v>
      </c>
      <c r="Q147" s="50"/>
      <c r="R147" s="49" t="str">
        <f t="shared" si="78"/>
        <v>Материал заказчика</v>
      </c>
      <c r="S147" s="50"/>
    </row>
    <row r="148" spans="1:19" x14ac:dyDescent="0.25">
      <c r="A148" s="132" t="s">
        <v>267</v>
      </c>
      <c r="B148" s="128" t="s">
        <v>511</v>
      </c>
      <c r="C148" s="133" t="s">
        <v>512</v>
      </c>
      <c r="D148" s="90">
        <v>16</v>
      </c>
      <c r="E148" s="132" t="s">
        <v>228</v>
      </c>
      <c r="F148" s="134">
        <f t="shared" si="70"/>
        <v>2937.76</v>
      </c>
      <c r="G148" s="88">
        <f>G145*D148</f>
        <v>481.44</v>
      </c>
      <c r="H148" s="88">
        <f>H145*D148</f>
        <v>399.36</v>
      </c>
      <c r="I148" s="88">
        <f>I145*D148</f>
        <v>399.36</v>
      </c>
      <c r="J148" s="88">
        <f>J145*D148</f>
        <v>503.52</v>
      </c>
      <c r="K148" s="88">
        <f>K145*D148</f>
        <v>399.36</v>
      </c>
      <c r="L148" s="88">
        <f>L145*D148</f>
        <v>355.36</v>
      </c>
      <c r="M148" s="88">
        <f>M145*D148</f>
        <v>399.36</v>
      </c>
      <c r="N148" s="29"/>
      <c r="O148" s="29"/>
      <c r="P148" s="49" t="str">
        <f>VLOOKUP(B148,'Форма КП'!$B$27:$G$49,5,FALSE)</f>
        <v>Материал заказчика</v>
      </c>
      <c r="Q148" s="50"/>
      <c r="R148" s="49" t="str">
        <f t="shared" si="78"/>
        <v>Материал заказчика</v>
      </c>
      <c r="S148" s="50"/>
    </row>
    <row r="149" spans="1:19" ht="120" x14ac:dyDescent="0.25">
      <c r="A149" s="127" t="s">
        <v>269</v>
      </c>
      <c r="B149" s="128" t="s">
        <v>513</v>
      </c>
      <c r="C149" s="129" t="s">
        <v>777</v>
      </c>
      <c r="D149" s="130"/>
      <c r="E149" s="127" t="s">
        <v>224</v>
      </c>
      <c r="F149" s="131">
        <f t="shared" si="70"/>
        <v>669.66</v>
      </c>
      <c r="G149" s="115">
        <f>(59.41-2)*2.7-13.69*2.1</f>
        <v>126.26</v>
      </c>
      <c r="H149" s="115">
        <f>(39.06-2)*2.7-8.9*2.1-1.37*1.7</f>
        <v>79.040000000000006</v>
      </c>
      <c r="I149" s="115">
        <f>(39.06-2)*2.7-8.9*2.1-1.37*1.7</f>
        <v>79.040000000000006</v>
      </c>
      <c r="J149" s="115">
        <f>52.31*2.7-12.69*2.1</f>
        <v>114.59</v>
      </c>
      <c r="K149" s="115">
        <f>39.06*2.7-8.9*2.1-1.37*1.7</f>
        <v>84.44</v>
      </c>
      <c r="L149" s="115">
        <f>48.2*2.7-10.9*2.1</f>
        <v>107.25</v>
      </c>
      <c r="M149" s="115">
        <f>(39.06-2)*2.7-8.9*2.1-1.37*1.7</f>
        <v>79.040000000000006</v>
      </c>
      <c r="N149" s="104">
        <f>VLOOKUP(B149,'Форма КП'!$B$17:$G$25,5,FALSE)</f>
        <v>0</v>
      </c>
      <c r="O149" s="104">
        <f>N149*F149</f>
        <v>0</v>
      </c>
      <c r="P149" s="104"/>
      <c r="Q149" s="104"/>
      <c r="R149" s="104">
        <f>N149</f>
        <v>0</v>
      </c>
      <c r="S149" s="104">
        <f>N149*F149</f>
        <v>0</v>
      </c>
    </row>
    <row r="150" spans="1:19" x14ac:dyDescent="0.25">
      <c r="A150" s="132" t="s">
        <v>270</v>
      </c>
      <c r="B150" s="128" t="s">
        <v>484</v>
      </c>
      <c r="C150" s="133" t="s">
        <v>225</v>
      </c>
      <c r="D150" s="90">
        <v>0.15</v>
      </c>
      <c r="E150" s="132" t="s">
        <v>226</v>
      </c>
      <c r="F150" s="134">
        <f t="shared" si="70"/>
        <v>100.47</v>
      </c>
      <c r="G150" s="88">
        <f>G149*D150</f>
        <v>18.940000000000001</v>
      </c>
      <c r="H150" s="88">
        <f>H149*D150</f>
        <v>11.86</v>
      </c>
      <c r="I150" s="88">
        <f>I149*D150</f>
        <v>11.86</v>
      </c>
      <c r="J150" s="88">
        <f>J149*D150</f>
        <v>17.190000000000001</v>
      </c>
      <c r="K150" s="88">
        <f>K149*D150</f>
        <v>12.67</v>
      </c>
      <c r="L150" s="88">
        <f>L149*D150</f>
        <v>16.09</v>
      </c>
      <c r="M150" s="88">
        <f>M149*D150</f>
        <v>11.86</v>
      </c>
      <c r="N150" s="29"/>
      <c r="O150" s="29"/>
      <c r="P150" s="49" t="str">
        <f>VLOOKUP(B150,'Форма КП'!$B$27:$G$49,5,FALSE)</f>
        <v>Материал заказчика</v>
      </c>
      <c r="Q150" s="50"/>
      <c r="R150" s="49" t="str">
        <f t="shared" ref="R150:R151" si="80">P150</f>
        <v>Материал заказчика</v>
      </c>
      <c r="S150" s="50"/>
    </row>
    <row r="151" spans="1:19" x14ac:dyDescent="0.25">
      <c r="A151" s="132" t="s">
        <v>271</v>
      </c>
      <c r="B151" s="128" t="s">
        <v>514</v>
      </c>
      <c r="C151" s="133" t="s">
        <v>515</v>
      </c>
      <c r="D151" s="90">
        <v>5</v>
      </c>
      <c r="E151" s="132" t="s">
        <v>228</v>
      </c>
      <c r="F151" s="134">
        <f t="shared" si="70"/>
        <v>3348.3</v>
      </c>
      <c r="G151" s="88">
        <f>G149*D151</f>
        <v>631.29999999999995</v>
      </c>
      <c r="H151" s="88">
        <f>H149*D151</f>
        <v>395.2</v>
      </c>
      <c r="I151" s="88">
        <f>I149*D151</f>
        <v>395.2</v>
      </c>
      <c r="J151" s="88">
        <f>J149*D151</f>
        <v>572.95000000000005</v>
      </c>
      <c r="K151" s="88">
        <f>K149*D151</f>
        <v>422.2</v>
      </c>
      <c r="L151" s="88">
        <f>L149*D151</f>
        <v>536.25</v>
      </c>
      <c r="M151" s="88">
        <f>M149*D151</f>
        <v>395.2</v>
      </c>
      <c r="N151" s="29"/>
      <c r="O151" s="29"/>
      <c r="P151" s="49" t="str">
        <f>VLOOKUP(B151,'Форма КП'!$B$27:$G$49,5,FALSE)</f>
        <v>Материал заказчика</v>
      </c>
      <c r="Q151" s="50"/>
      <c r="R151" s="49" t="str">
        <f t="shared" si="80"/>
        <v>Материал заказчика</v>
      </c>
      <c r="S151" s="50"/>
    </row>
    <row r="152" spans="1:19" ht="156" x14ac:dyDescent="0.25">
      <c r="A152" s="127" t="s">
        <v>272</v>
      </c>
      <c r="B152" s="128" t="s">
        <v>493</v>
      </c>
      <c r="C152" s="129" t="s">
        <v>780</v>
      </c>
      <c r="D152" s="130"/>
      <c r="E152" s="127" t="s">
        <v>224</v>
      </c>
      <c r="F152" s="131">
        <f t="shared" si="70"/>
        <v>14.4</v>
      </c>
      <c r="G152" s="112">
        <f>0.2*2*6</f>
        <v>2.4</v>
      </c>
      <c r="H152" s="112">
        <f t="shared" ref="H152:M152" si="81">0.2*2*5</f>
        <v>2</v>
      </c>
      <c r="I152" s="112">
        <f t="shared" si="81"/>
        <v>2</v>
      </c>
      <c r="J152" s="112">
        <f t="shared" si="81"/>
        <v>2</v>
      </c>
      <c r="K152" s="112">
        <f t="shared" si="81"/>
        <v>2</v>
      </c>
      <c r="L152" s="112">
        <f t="shared" si="81"/>
        <v>2</v>
      </c>
      <c r="M152" s="112">
        <f t="shared" si="81"/>
        <v>2</v>
      </c>
      <c r="N152" s="104">
        <f>VLOOKUP(B152,'Форма КП'!$B$17:$G$25,5,FALSE)</f>
        <v>0</v>
      </c>
      <c r="O152" s="104">
        <f>N152*F152</f>
        <v>0</v>
      </c>
      <c r="P152" s="104"/>
      <c r="Q152" s="104"/>
      <c r="R152" s="104">
        <f>N152</f>
        <v>0</v>
      </c>
      <c r="S152" s="104">
        <f>N152*F152</f>
        <v>0</v>
      </c>
    </row>
    <row r="153" spans="1:19" x14ac:dyDescent="0.25">
      <c r="A153" s="132" t="s">
        <v>273</v>
      </c>
      <c r="B153" s="128" t="s">
        <v>484</v>
      </c>
      <c r="C153" s="133" t="s">
        <v>225</v>
      </c>
      <c r="D153" s="90">
        <v>0.15</v>
      </c>
      <c r="E153" s="132" t="s">
        <v>226</v>
      </c>
      <c r="F153" s="134">
        <f t="shared" si="70"/>
        <v>2.16</v>
      </c>
      <c r="G153" s="88">
        <f>G152*D153</f>
        <v>0.36</v>
      </c>
      <c r="H153" s="88">
        <f>H152*D153</f>
        <v>0.3</v>
      </c>
      <c r="I153" s="88">
        <f>I152*D153</f>
        <v>0.3</v>
      </c>
      <c r="J153" s="88">
        <f>J152*D153</f>
        <v>0.3</v>
      </c>
      <c r="K153" s="88">
        <f>K152*D153</f>
        <v>0.3</v>
      </c>
      <c r="L153" s="88">
        <f>L152*D153</f>
        <v>0.3</v>
      </c>
      <c r="M153" s="88">
        <f>M152*D153</f>
        <v>0.3</v>
      </c>
      <c r="N153" s="29"/>
      <c r="O153" s="29"/>
      <c r="P153" s="49" t="str">
        <f>VLOOKUP(B153,'Форма КП'!$B$27:$G$49,5,FALSE)</f>
        <v>Материал заказчика</v>
      </c>
      <c r="Q153" s="50"/>
      <c r="R153" s="49" t="str">
        <f t="shared" ref="R153:R156" si="82">P153</f>
        <v>Материал заказчика</v>
      </c>
      <c r="S153" s="50"/>
    </row>
    <row r="154" spans="1:19" x14ac:dyDescent="0.25">
      <c r="A154" s="132" t="s">
        <v>274</v>
      </c>
      <c r="B154" s="128" t="s">
        <v>496</v>
      </c>
      <c r="C154" s="133" t="s">
        <v>227</v>
      </c>
      <c r="D154" s="90">
        <v>10</v>
      </c>
      <c r="E154" s="132" t="s">
        <v>228</v>
      </c>
      <c r="F154" s="134">
        <f t="shared" si="70"/>
        <v>144</v>
      </c>
      <c r="G154" s="88">
        <f>G152*D154</f>
        <v>24</v>
      </c>
      <c r="H154" s="88">
        <f>H152*D154</f>
        <v>20</v>
      </c>
      <c r="I154" s="88">
        <f>I152*D154</f>
        <v>20</v>
      </c>
      <c r="J154" s="88">
        <f>J152*D154</f>
        <v>20</v>
      </c>
      <c r="K154" s="88">
        <f>K152*D154</f>
        <v>20</v>
      </c>
      <c r="L154" s="88">
        <f>L152*D154</f>
        <v>20</v>
      </c>
      <c r="M154" s="88">
        <f>M152*D154</f>
        <v>20</v>
      </c>
      <c r="N154" s="29"/>
      <c r="O154" s="29"/>
      <c r="P154" s="49" t="str">
        <f>VLOOKUP(B154,'Форма КП'!$B$27:$G$49,5,FALSE)</f>
        <v>Материал заказчика</v>
      </c>
      <c r="Q154" s="50"/>
      <c r="R154" s="49" t="str">
        <f t="shared" si="82"/>
        <v>Материал заказчика</v>
      </c>
      <c r="S154" s="50"/>
    </row>
    <row r="155" spans="1:19" x14ac:dyDescent="0.25">
      <c r="A155" s="132" t="s">
        <v>275</v>
      </c>
      <c r="B155" s="128" t="s">
        <v>523</v>
      </c>
      <c r="C155" s="133" t="s">
        <v>229</v>
      </c>
      <c r="D155" s="90">
        <v>0.2</v>
      </c>
      <c r="E155" s="132" t="s">
        <v>228</v>
      </c>
      <c r="F155" s="134">
        <f t="shared" si="70"/>
        <v>2.88</v>
      </c>
      <c r="G155" s="88">
        <f>G152*D155</f>
        <v>0.48</v>
      </c>
      <c r="H155" s="88">
        <f>H152*D155</f>
        <v>0.4</v>
      </c>
      <c r="I155" s="88">
        <f>I152*D155</f>
        <v>0.4</v>
      </c>
      <c r="J155" s="88">
        <f>J152*D155</f>
        <v>0.4</v>
      </c>
      <c r="K155" s="88">
        <f>K152*D155</f>
        <v>0.4</v>
      </c>
      <c r="L155" s="88">
        <f>L152*D155</f>
        <v>0.4</v>
      </c>
      <c r="M155" s="88">
        <f>M152*D155</f>
        <v>0.4</v>
      </c>
      <c r="N155" s="29"/>
      <c r="O155" s="29"/>
      <c r="P155" s="49" t="str">
        <f>VLOOKUP(B155,'Форма КП'!$B$27:$G$49,5,FALSE)</f>
        <v>Материал заказчика</v>
      </c>
      <c r="Q155" s="50"/>
      <c r="R155" s="49" t="str">
        <f t="shared" si="82"/>
        <v>Материал заказчика</v>
      </c>
      <c r="S155" s="50"/>
    </row>
    <row r="156" spans="1:19" x14ac:dyDescent="0.25">
      <c r="A156" s="132" t="s">
        <v>276</v>
      </c>
      <c r="B156" s="128" t="s">
        <v>501</v>
      </c>
      <c r="C156" s="133" t="s">
        <v>502</v>
      </c>
      <c r="D156" s="90">
        <v>1.05</v>
      </c>
      <c r="E156" s="132" t="s">
        <v>224</v>
      </c>
      <c r="F156" s="134">
        <f t="shared" si="70"/>
        <v>15.12</v>
      </c>
      <c r="G156" s="88">
        <f>G152*D156</f>
        <v>2.52</v>
      </c>
      <c r="H156" s="88">
        <f>H152*D156</f>
        <v>2.1</v>
      </c>
      <c r="I156" s="88">
        <f>I152*D156</f>
        <v>2.1</v>
      </c>
      <c r="J156" s="88">
        <f>J152*D156</f>
        <v>2.1</v>
      </c>
      <c r="K156" s="88">
        <f>K152*D156</f>
        <v>2.1</v>
      </c>
      <c r="L156" s="88">
        <f>L152*D156</f>
        <v>2.1</v>
      </c>
      <c r="M156" s="88">
        <f>M152*D156</f>
        <v>2.1</v>
      </c>
      <c r="N156" s="29"/>
      <c r="O156" s="29"/>
      <c r="P156" s="49" t="str">
        <f>VLOOKUP(B156,'Форма КП'!$B$27:$G$49,5,FALSE)</f>
        <v>Материал заказчика</v>
      </c>
      <c r="Q156" s="50"/>
      <c r="R156" s="49" t="str">
        <f t="shared" si="82"/>
        <v>Материал заказчика</v>
      </c>
      <c r="S156" s="50"/>
    </row>
    <row r="157" spans="1:19" ht="108" x14ac:dyDescent="0.25">
      <c r="A157" s="127" t="s">
        <v>277</v>
      </c>
      <c r="B157" s="128" t="s">
        <v>505</v>
      </c>
      <c r="C157" s="129" t="s">
        <v>779</v>
      </c>
      <c r="D157" s="130"/>
      <c r="E157" s="127" t="s">
        <v>224</v>
      </c>
      <c r="F157" s="131">
        <f t="shared" si="70"/>
        <v>247.76</v>
      </c>
      <c r="G157" s="113">
        <v>35.69</v>
      </c>
      <c r="H157" s="113">
        <v>35.18</v>
      </c>
      <c r="I157" s="113">
        <v>35.18</v>
      </c>
      <c r="J157" s="113">
        <v>35.659999999999997</v>
      </c>
      <c r="K157" s="113">
        <v>35.18</v>
      </c>
      <c r="L157" s="113">
        <v>35.69</v>
      </c>
      <c r="M157" s="113">
        <v>35.18</v>
      </c>
      <c r="N157" s="104">
        <f>VLOOKUP(B157,'Форма КП'!$B$17:$G$25,5,FALSE)</f>
        <v>0</v>
      </c>
      <c r="O157" s="104">
        <f>N157*F157</f>
        <v>0</v>
      </c>
      <c r="P157" s="104"/>
      <c r="Q157" s="104"/>
      <c r="R157" s="104">
        <f>N157</f>
        <v>0</v>
      </c>
      <c r="S157" s="104">
        <f>N157*F157</f>
        <v>0</v>
      </c>
    </row>
    <row r="158" spans="1:19" x14ac:dyDescent="0.25">
      <c r="A158" s="132" t="s">
        <v>278</v>
      </c>
      <c r="B158" s="128" t="s">
        <v>484</v>
      </c>
      <c r="C158" s="133" t="s">
        <v>225</v>
      </c>
      <c r="D158" s="90">
        <v>0.15</v>
      </c>
      <c r="E158" s="132" t="s">
        <v>226</v>
      </c>
      <c r="F158" s="134">
        <f t="shared" si="70"/>
        <v>37.17</v>
      </c>
      <c r="G158" s="88">
        <f>G157*D158</f>
        <v>5.35</v>
      </c>
      <c r="H158" s="88">
        <f>H157*D158</f>
        <v>5.28</v>
      </c>
      <c r="I158" s="88">
        <f>I157*D158</f>
        <v>5.28</v>
      </c>
      <c r="J158" s="88">
        <f>J157*D158</f>
        <v>5.35</v>
      </c>
      <c r="K158" s="88">
        <f>K157*D158</f>
        <v>5.28</v>
      </c>
      <c r="L158" s="88">
        <f>L157*D158</f>
        <v>5.35</v>
      </c>
      <c r="M158" s="88">
        <f>M157*D158</f>
        <v>5.28</v>
      </c>
      <c r="N158" s="29"/>
      <c r="O158" s="29"/>
      <c r="P158" s="49" t="str">
        <f>VLOOKUP(B158,'Форма КП'!$B$27:$G$49,5,FALSE)</f>
        <v>Материал заказчика</v>
      </c>
      <c r="Q158" s="50"/>
      <c r="R158" s="49" t="str">
        <f t="shared" ref="R158:R159" si="83">P158</f>
        <v>Материал заказчика</v>
      </c>
      <c r="S158" s="50"/>
    </row>
    <row r="159" spans="1:19" ht="24" x14ac:dyDescent="0.25">
      <c r="A159" s="132" t="s">
        <v>279</v>
      </c>
      <c r="B159" s="128" t="s">
        <v>506</v>
      </c>
      <c r="C159" s="133" t="s">
        <v>507</v>
      </c>
      <c r="D159" s="90">
        <v>0.25</v>
      </c>
      <c r="E159" s="132" t="s">
        <v>226</v>
      </c>
      <c r="F159" s="134">
        <f t="shared" si="70"/>
        <v>61.96</v>
      </c>
      <c r="G159" s="88">
        <f>G157*D159</f>
        <v>8.92</v>
      </c>
      <c r="H159" s="88">
        <f>H157*D159</f>
        <v>8.8000000000000007</v>
      </c>
      <c r="I159" s="88">
        <f>I157*D159</f>
        <v>8.8000000000000007</v>
      </c>
      <c r="J159" s="88">
        <f>J157*D159</f>
        <v>8.92</v>
      </c>
      <c r="K159" s="88">
        <f>K157*D159</f>
        <v>8.8000000000000007</v>
      </c>
      <c r="L159" s="88">
        <f>L157*D159</f>
        <v>8.92</v>
      </c>
      <c r="M159" s="88">
        <f>M157*D159</f>
        <v>8.8000000000000007</v>
      </c>
      <c r="N159" s="29"/>
      <c r="O159" s="29"/>
      <c r="P159" s="49" t="str">
        <f>VLOOKUP(B159,'Форма КП'!$B$27:$G$49,5,FALSE)</f>
        <v>Материал заказчика</v>
      </c>
      <c r="Q159" s="50"/>
      <c r="R159" s="49" t="str">
        <f t="shared" si="83"/>
        <v>Материал заказчика</v>
      </c>
      <c r="S159" s="50"/>
    </row>
    <row r="160" spans="1:19" ht="108" x14ac:dyDescent="0.25">
      <c r="A160" s="127" t="s">
        <v>280</v>
      </c>
      <c r="B160" s="128" t="s">
        <v>505</v>
      </c>
      <c r="C160" s="129" t="s">
        <v>779</v>
      </c>
      <c r="D160" s="130"/>
      <c r="E160" s="127" t="s">
        <v>224</v>
      </c>
      <c r="F160" s="131">
        <f t="shared" si="70"/>
        <v>45.92</v>
      </c>
      <c r="G160" s="113">
        <f t="shared" ref="G160:M160" si="84">2.43*2.7</f>
        <v>6.56</v>
      </c>
      <c r="H160" s="113">
        <f t="shared" si="84"/>
        <v>6.56</v>
      </c>
      <c r="I160" s="113">
        <f t="shared" si="84"/>
        <v>6.56</v>
      </c>
      <c r="J160" s="113">
        <f t="shared" si="84"/>
        <v>6.56</v>
      </c>
      <c r="K160" s="113">
        <f t="shared" si="84"/>
        <v>6.56</v>
      </c>
      <c r="L160" s="113">
        <f t="shared" si="84"/>
        <v>6.56</v>
      </c>
      <c r="M160" s="113">
        <f t="shared" si="84"/>
        <v>6.56</v>
      </c>
      <c r="N160" s="104">
        <f>VLOOKUP(B160,'Форма КП'!$B$17:$G$25,5,FALSE)</f>
        <v>0</v>
      </c>
      <c r="O160" s="104">
        <f>N160*F160</f>
        <v>0</v>
      </c>
      <c r="P160" s="104"/>
      <c r="Q160" s="104"/>
      <c r="R160" s="104">
        <f>N160</f>
        <v>0</v>
      </c>
      <c r="S160" s="104">
        <f>N160*F160</f>
        <v>0</v>
      </c>
    </row>
    <row r="161" spans="1:19" x14ac:dyDescent="0.25">
      <c r="A161" s="132" t="s">
        <v>281</v>
      </c>
      <c r="B161" s="128" t="s">
        <v>484</v>
      </c>
      <c r="C161" s="133" t="s">
        <v>225</v>
      </c>
      <c r="D161" s="90">
        <v>0.15</v>
      </c>
      <c r="E161" s="132" t="s">
        <v>226</v>
      </c>
      <c r="F161" s="134">
        <f t="shared" si="70"/>
        <v>6.86</v>
      </c>
      <c r="G161" s="88">
        <f>G160*D161</f>
        <v>0.98</v>
      </c>
      <c r="H161" s="88">
        <f>H160*D161</f>
        <v>0.98</v>
      </c>
      <c r="I161" s="88">
        <f>I160*D161</f>
        <v>0.98</v>
      </c>
      <c r="J161" s="88">
        <f>J160*D161</f>
        <v>0.98</v>
      </c>
      <c r="K161" s="88">
        <f>K160*D161</f>
        <v>0.98</v>
      </c>
      <c r="L161" s="88">
        <f>L160*D161</f>
        <v>0.98</v>
      </c>
      <c r="M161" s="88">
        <f>M160*D161</f>
        <v>0.98</v>
      </c>
      <c r="N161" s="29"/>
      <c r="O161" s="29"/>
      <c r="P161" s="49" t="str">
        <f>VLOOKUP(B161,'Форма КП'!$B$27:$G$49,5,FALSE)</f>
        <v>Материал заказчика</v>
      </c>
      <c r="Q161" s="50"/>
      <c r="R161" s="49" t="str">
        <f t="shared" ref="R161:R162" si="85">P161</f>
        <v>Материал заказчика</v>
      </c>
      <c r="S161" s="50"/>
    </row>
    <row r="162" spans="1:19" ht="24" x14ac:dyDescent="0.25">
      <c r="A162" s="132" t="s">
        <v>282</v>
      </c>
      <c r="B162" s="128" t="s">
        <v>508</v>
      </c>
      <c r="C162" s="133" t="s">
        <v>509</v>
      </c>
      <c r="D162" s="90">
        <v>0.25</v>
      </c>
      <c r="E162" s="132" t="s">
        <v>226</v>
      </c>
      <c r="F162" s="134">
        <f t="shared" si="70"/>
        <v>11.48</v>
      </c>
      <c r="G162" s="88">
        <f>G160*D162</f>
        <v>1.64</v>
      </c>
      <c r="H162" s="88">
        <f>H160*D162</f>
        <v>1.64</v>
      </c>
      <c r="I162" s="88">
        <f>I160*D162</f>
        <v>1.64</v>
      </c>
      <c r="J162" s="88">
        <f>J160*D162</f>
        <v>1.64</v>
      </c>
      <c r="K162" s="88">
        <f>K160*D162</f>
        <v>1.64</v>
      </c>
      <c r="L162" s="88">
        <f>L160*D162</f>
        <v>1.64</v>
      </c>
      <c r="M162" s="88">
        <f>M160*D162</f>
        <v>1.64</v>
      </c>
      <c r="N162" s="29"/>
      <c r="O162" s="29"/>
      <c r="P162" s="49" t="str">
        <f>VLOOKUP(B162,'Форма КП'!$B$27:$G$49,5,FALSE)</f>
        <v>Материал заказчика</v>
      </c>
      <c r="Q162" s="50"/>
      <c r="R162" s="49" t="str">
        <f t="shared" si="85"/>
        <v>Материал заказчика</v>
      </c>
      <c r="S162" s="50"/>
    </row>
    <row r="163" spans="1:19" x14ac:dyDescent="0.25">
      <c r="A163" s="126" t="s">
        <v>232</v>
      </c>
      <c r="B163" s="120"/>
      <c r="C163" s="121"/>
      <c r="D163" s="122"/>
      <c r="E163" s="123"/>
      <c r="F163" s="124"/>
      <c r="G163" s="125"/>
      <c r="H163" s="125"/>
      <c r="I163" s="125"/>
      <c r="J163" s="125"/>
      <c r="K163" s="125"/>
      <c r="L163" s="125"/>
      <c r="M163" s="125"/>
      <c r="N163" s="33"/>
      <c r="O163" s="33"/>
      <c r="P163" s="33"/>
      <c r="Q163" s="33"/>
      <c r="R163" s="33"/>
      <c r="S163" s="31"/>
    </row>
    <row r="164" spans="1:19" ht="216" x14ac:dyDescent="0.25">
      <c r="A164" s="127" t="s">
        <v>283</v>
      </c>
      <c r="B164" s="128" t="s">
        <v>510</v>
      </c>
      <c r="C164" s="129" t="s">
        <v>776</v>
      </c>
      <c r="D164" s="130"/>
      <c r="E164" s="127" t="s">
        <v>224</v>
      </c>
      <c r="F164" s="131">
        <f t="shared" si="70"/>
        <v>2475.61</v>
      </c>
      <c r="G164" s="113">
        <f>117.7*2.78+7.6*0.68+14.6*1.2+11.8*0.5+3.6*0.48</f>
        <v>357.52</v>
      </c>
      <c r="H164" s="113">
        <f>116.62*2.78+3*0.68+9.8*0.5+11.8*1.2+7.4*0.48</f>
        <v>348.86</v>
      </c>
      <c r="I164" s="113">
        <f>116.62*2.78+3*0.68+9.8*0.5+11.8*1.2+7.4*0.48</f>
        <v>348.86</v>
      </c>
      <c r="J164" s="113">
        <f>135.76*2.78+9.6*0.5+16.5*1.2+9.6*0.68+3.6*0.48</f>
        <v>410.27</v>
      </c>
      <c r="K164" s="116">
        <f>131.42*2.7-3*2.1-17.17*1.7-9.87*2.3+9.2*0.4</f>
        <v>300.32</v>
      </c>
      <c r="L164" s="116">
        <f>165.09*2.7-10.6*2.1-16.57*1.7-9.87*2.3+3.6*0.4</f>
        <v>374.05</v>
      </c>
      <c r="M164" s="116">
        <f>144.8*2.7-3*2.1-17.17*1.7-9.87*2.3+7.4*0.4</f>
        <v>335.73</v>
      </c>
      <c r="N164" s="104">
        <f>VLOOKUP(B164,'Форма КП'!$B$17:$G$25,5,FALSE)</f>
        <v>0</v>
      </c>
      <c r="O164" s="104">
        <f>N164*F164</f>
        <v>0</v>
      </c>
      <c r="P164" s="104"/>
      <c r="Q164" s="104"/>
      <c r="R164" s="104">
        <f>N164</f>
        <v>0</v>
      </c>
      <c r="S164" s="104">
        <f>N164*F164</f>
        <v>0</v>
      </c>
    </row>
    <row r="165" spans="1:19" x14ac:dyDescent="0.25">
      <c r="A165" s="132" t="s">
        <v>284</v>
      </c>
      <c r="B165" s="128" t="s">
        <v>486</v>
      </c>
      <c r="C165" s="133" t="s">
        <v>487</v>
      </c>
      <c r="D165" s="90">
        <v>1.45</v>
      </c>
      <c r="E165" s="132" t="s">
        <v>6</v>
      </c>
      <c r="F165" s="134">
        <f t="shared" si="70"/>
        <v>3589.63</v>
      </c>
      <c r="G165" s="88">
        <f>G164*D165</f>
        <v>518.4</v>
      </c>
      <c r="H165" s="88">
        <f>H164*D165</f>
        <v>505.85</v>
      </c>
      <c r="I165" s="88">
        <f>I164*D165</f>
        <v>505.85</v>
      </c>
      <c r="J165" s="88">
        <f>J164*D165</f>
        <v>594.89</v>
      </c>
      <c r="K165" s="106">
        <f>K164*D165</f>
        <v>435.46</v>
      </c>
      <c r="L165" s="106">
        <f>L164*D165</f>
        <v>542.37</v>
      </c>
      <c r="M165" s="106">
        <f>M164*D165</f>
        <v>486.81</v>
      </c>
      <c r="N165" s="29"/>
      <c r="O165" s="29"/>
      <c r="P165" s="86">
        <f>VLOOKUP(B165,'Форма КП'!$B$27:$G$49,5,FALSE)</f>
        <v>0</v>
      </c>
      <c r="Q165" s="86">
        <f t="shared" ref="Q165" si="86">P165*F165</f>
        <v>0</v>
      </c>
      <c r="R165" s="32">
        <f t="shared" ref="R165:R167" si="87">P165</f>
        <v>0</v>
      </c>
      <c r="S165" s="32">
        <f t="shared" ref="S165" si="88">P165*F165</f>
        <v>0</v>
      </c>
    </row>
    <row r="166" spans="1:19" x14ac:dyDescent="0.25">
      <c r="A166" s="132" t="s">
        <v>285</v>
      </c>
      <c r="B166" s="128" t="s">
        <v>488</v>
      </c>
      <c r="C166" s="133" t="s">
        <v>489</v>
      </c>
      <c r="D166" s="90">
        <v>0.2</v>
      </c>
      <c r="E166" s="132" t="s">
        <v>228</v>
      </c>
      <c r="F166" s="134">
        <f t="shared" si="70"/>
        <v>495.11</v>
      </c>
      <c r="G166" s="88">
        <f>G164*D166</f>
        <v>71.5</v>
      </c>
      <c r="H166" s="88">
        <f>H164*D166</f>
        <v>69.77</v>
      </c>
      <c r="I166" s="88">
        <f>I164*D166</f>
        <v>69.77</v>
      </c>
      <c r="J166" s="88">
        <f>J164*D166</f>
        <v>82.05</v>
      </c>
      <c r="K166" s="106">
        <f>(131.42*2.7-3*2.1-17.17*1.7-9.87*2.3+9.2*0.4)*D166</f>
        <v>60.06</v>
      </c>
      <c r="L166" s="106">
        <f>(165.09*2.7-10.6*2.1-16.57*1.7-9.87*2.3+3.6*0.4)*D166</f>
        <v>74.81</v>
      </c>
      <c r="M166" s="106">
        <f>(144.8*2.7-3*2.1-17.17*1.7-9.87*2.3+7.4*0.4)*D166</f>
        <v>67.150000000000006</v>
      </c>
      <c r="N166" s="29"/>
      <c r="O166" s="29"/>
      <c r="P166" s="49" t="str">
        <f>VLOOKUP(B166,'Форма КП'!$B$27:$G$49,5,FALSE)</f>
        <v>Материал заказчика</v>
      </c>
      <c r="Q166" s="50"/>
      <c r="R166" s="49" t="str">
        <f t="shared" si="87"/>
        <v>Материал заказчика</v>
      </c>
      <c r="S166" s="50"/>
    </row>
    <row r="167" spans="1:19" x14ac:dyDescent="0.25">
      <c r="A167" s="132" t="s">
        <v>286</v>
      </c>
      <c r="B167" s="128" t="s">
        <v>511</v>
      </c>
      <c r="C167" s="133" t="s">
        <v>512</v>
      </c>
      <c r="D167" s="90">
        <v>16</v>
      </c>
      <c r="E167" s="132" t="s">
        <v>228</v>
      </c>
      <c r="F167" s="134">
        <f t="shared" si="70"/>
        <v>39609.760000000002</v>
      </c>
      <c r="G167" s="88">
        <f>G164*D167</f>
        <v>5720.32</v>
      </c>
      <c r="H167" s="88">
        <f>H164*D167</f>
        <v>5581.76</v>
      </c>
      <c r="I167" s="88">
        <f>I164*D167</f>
        <v>5581.76</v>
      </c>
      <c r="J167" s="88">
        <f>J164*D167</f>
        <v>6564.32</v>
      </c>
      <c r="K167" s="106">
        <f>K164*D167</f>
        <v>4805.12</v>
      </c>
      <c r="L167" s="106">
        <f>L164*D167</f>
        <v>5984.8</v>
      </c>
      <c r="M167" s="106">
        <f>M164*D167</f>
        <v>5371.68</v>
      </c>
      <c r="N167" s="29"/>
      <c r="O167" s="29"/>
      <c r="P167" s="49" t="str">
        <f>VLOOKUP(B167,'Форма КП'!$B$27:$G$49,5,FALSE)</f>
        <v>Материал заказчика</v>
      </c>
      <c r="Q167" s="50"/>
      <c r="R167" s="49" t="str">
        <f t="shared" si="87"/>
        <v>Материал заказчика</v>
      </c>
      <c r="S167" s="50"/>
    </row>
    <row r="168" spans="1:19" ht="216" x14ac:dyDescent="0.25">
      <c r="A168" s="127" t="s">
        <v>287</v>
      </c>
      <c r="B168" s="128" t="s">
        <v>510</v>
      </c>
      <c r="C168" s="129" t="s">
        <v>776</v>
      </c>
      <c r="D168" s="130"/>
      <c r="E168" s="127" t="s">
        <v>224</v>
      </c>
      <c r="F168" s="131">
        <f t="shared" si="70"/>
        <v>2310.37</v>
      </c>
      <c r="G168" s="113">
        <f>130*2.78+21.6*0.68</f>
        <v>376.09</v>
      </c>
      <c r="H168" s="113">
        <f>111.56*2.78+17.8*0.68</f>
        <v>322.24</v>
      </c>
      <c r="I168" s="113">
        <f>111.56*2.78+17.8*0.68</f>
        <v>322.24</v>
      </c>
      <c r="J168" s="113">
        <f>121*2.78+25.2*0.68</f>
        <v>353.52</v>
      </c>
      <c r="K168" s="116">
        <f>118.52*2.7-16*2.1</f>
        <v>286.39999999999998</v>
      </c>
      <c r="L168" s="116">
        <f>148.27*2.7-25.4*2.1</f>
        <v>346.99</v>
      </c>
      <c r="M168" s="116">
        <f>125.87*2.7-17.6*2.1</f>
        <v>302.89</v>
      </c>
      <c r="N168" s="104">
        <f>VLOOKUP(B168,'Форма КП'!$B$17:$G$25,5,FALSE)</f>
        <v>0</v>
      </c>
      <c r="O168" s="104">
        <f>N168*F168</f>
        <v>0</v>
      </c>
      <c r="P168" s="104"/>
      <c r="Q168" s="104"/>
      <c r="R168" s="104">
        <f>N168</f>
        <v>0</v>
      </c>
      <c r="S168" s="104">
        <f>N168*F168</f>
        <v>0</v>
      </c>
    </row>
    <row r="169" spans="1:19" x14ac:dyDescent="0.25">
      <c r="A169" s="132" t="s">
        <v>288</v>
      </c>
      <c r="B169" s="128" t="s">
        <v>486</v>
      </c>
      <c r="C169" s="133" t="s">
        <v>487</v>
      </c>
      <c r="D169" s="90">
        <v>1.45</v>
      </c>
      <c r="E169" s="132" t="s">
        <v>6</v>
      </c>
      <c r="F169" s="134">
        <f t="shared" si="70"/>
        <v>3350.04</v>
      </c>
      <c r="G169" s="88">
        <f>G168*D169</f>
        <v>545.33000000000004</v>
      </c>
      <c r="H169" s="88">
        <f>H168*D169</f>
        <v>467.25</v>
      </c>
      <c r="I169" s="88">
        <f>I168*D169</f>
        <v>467.25</v>
      </c>
      <c r="J169" s="88">
        <f>J168*D169</f>
        <v>512.6</v>
      </c>
      <c r="K169" s="106">
        <f>K168*D169</f>
        <v>415.28</v>
      </c>
      <c r="L169" s="106">
        <f>L168*D169</f>
        <v>503.14</v>
      </c>
      <c r="M169" s="106">
        <f>M168*D169</f>
        <v>439.19</v>
      </c>
      <c r="N169" s="29"/>
      <c r="O169" s="29"/>
      <c r="P169" s="86">
        <f>VLOOKUP(B169,'Форма КП'!$B$27:$G$49,5,FALSE)</f>
        <v>0</v>
      </c>
      <c r="Q169" s="86">
        <f t="shared" ref="Q169" si="89">P169*F169</f>
        <v>0</v>
      </c>
      <c r="R169" s="32">
        <f t="shared" ref="R169:R171" si="90">P169</f>
        <v>0</v>
      </c>
      <c r="S169" s="32">
        <f t="shared" ref="S169" si="91">P169*F169</f>
        <v>0</v>
      </c>
    </row>
    <row r="170" spans="1:19" x14ac:dyDescent="0.25">
      <c r="A170" s="132" t="s">
        <v>289</v>
      </c>
      <c r="B170" s="128" t="s">
        <v>484</v>
      </c>
      <c r="C170" s="133" t="s">
        <v>225</v>
      </c>
      <c r="D170" s="90">
        <v>0.4</v>
      </c>
      <c r="E170" s="132" t="s">
        <v>226</v>
      </c>
      <c r="F170" s="134">
        <f t="shared" si="70"/>
        <v>924.17</v>
      </c>
      <c r="G170" s="88">
        <f>G168*D170</f>
        <v>150.44</v>
      </c>
      <c r="H170" s="88">
        <f>H168*D170</f>
        <v>128.9</v>
      </c>
      <c r="I170" s="88">
        <f>I168*D170</f>
        <v>128.9</v>
      </c>
      <c r="J170" s="88">
        <f>J168*D170</f>
        <v>141.41</v>
      </c>
      <c r="K170" s="106">
        <f>(118.52*2.7-16*2.1)*D170</f>
        <v>114.56</v>
      </c>
      <c r="L170" s="106">
        <f>(148.27*2.7-25.4*2.1)*D170</f>
        <v>138.80000000000001</v>
      </c>
      <c r="M170" s="106">
        <f>(125.87*2.7-17.6*2.1)*D170</f>
        <v>121.16</v>
      </c>
      <c r="N170" s="29"/>
      <c r="O170" s="29"/>
      <c r="P170" s="49" t="str">
        <f>VLOOKUP(B170,'Форма КП'!$B$27:$G$49,5,FALSE)</f>
        <v>Материал заказчика</v>
      </c>
      <c r="Q170" s="50"/>
      <c r="R170" s="49" t="str">
        <f t="shared" si="90"/>
        <v>Материал заказчика</v>
      </c>
      <c r="S170" s="50"/>
    </row>
    <row r="171" spans="1:19" x14ac:dyDescent="0.25">
      <c r="A171" s="132" t="s">
        <v>290</v>
      </c>
      <c r="B171" s="128" t="s">
        <v>511</v>
      </c>
      <c r="C171" s="133" t="s">
        <v>512</v>
      </c>
      <c r="D171" s="90">
        <v>16</v>
      </c>
      <c r="E171" s="132" t="s">
        <v>228</v>
      </c>
      <c r="F171" s="134">
        <f t="shared" si="70"/>
        <v>36965.919999999998</v>
      </c>
      <c r="G171" s="88">
        <f>G168*D171</f>
        <v>6017.44</v>
      </c>
      <c r="H171" s="88">
        <f>H168*D171</f>
        <v>5155.84</v>
      </c>
      <c r="I171" s="88">
        <f>I168*D171</f>
        <v>5155.84</v>
      </c>
      <c r="J171" s="88">
        <f>J168*D171</f>
        <v>5656.32</v>
      </c>
      <c r="K171" s="106">
        <f>K168*D171</f>
        <v>4582.3999999999996</v>
      </c>
      <c r="L171" s="106">
        <f>L168*D171</f>
        <v>5551.84</v>
      </c>
      <c r="M171" s="106">
        <f>M168*D171</f>
        <v>4846.24</v>
      </c>
      <c r="N171" s="29"/>
      <c r="O171" s="29"/>
      <c r="P171" s="49" t="str">
        <f>VLOOKUP(B171,'Форма КП'!$B$27:$G$49,5,FALSE)</f>
        <v>Материал заказчика</v>
      </c>
      <c r="Q171" s="50"/>
      <c r="R171" s="49" t="str">
        <f t="shared" si="90"/>
        <v>Материал заказчика</v>
      </c>
      <c r="S171" s="50"/>
    </row>
    <row r="172" spans="1:19" ht="132" x14ac:dyDescent="0.25">
      <c r="A172" s="127" t="s">
        <v>291</v>
      </c>
      <c r="B172" s="128" t="s">
        <v>481</v>
      </c>
      <c r="C172" s="129" t="s">
        <v>778</v>
      </c>
      <c r="D172" s="130"/>
      <c r="E172" s="127" t="s">
        <v>224</v>
      </c>
      <c r="F172" s="131">
        <f t="shared" si="70"/>
        <v>2093.27</v>
      </c>
      <c r="G172" s="116">
        <f>G168+G164</f>
        <v>733.61</v>
      </c>
      <c r="H172" s="116"/>
      <c r="I172" s="116"/>
      <c r="J172" s="116"/>
      <c r="K172" s="116"/>
      <c r="L172" s="116">
        <f>L164+L168</f>
        <v>721.04</v>
      </c>
      <c r="M172" s="116">
        <f>M164+M168</f>
        <v>638.62</v>
      </c>
      <c r="N172" s="104">
        <f>VLOOKUP(B172,'Форма КП'!$B$17:$G$25,5,FALSE)</f>
        <v>0</v>
      </c>
      <c r="O172" s="104">
        <f>N172*F172</f>
        <v>0</v>
      </c>
      <c r="P172" s="104"/>
      <c r="Q172" s="104"/>
      <c r="R172" s="104">
        <f>N172</f>
        <v>0</v>
      </c>
      <c r="S172" s="104">
        <f>N172*F172</f>
        <v>0</v>
      </c>
    </row>
    <row r="173" spans="1:19" x14ac:dyDescent="0.25">
      <c r="A173" s="132" t="s">
        <v>292</v>
      </c>
      <c r="B173" s="128" t="s">
        <v>482</v>
      </c>
      <c r="C173" s="133" t="s">
        <v>483</v>
      </c>
      <c r="D173" s="136">
        <v>2.4</v>
      </c>
      <c r="E173" s="132" t="s">
        <v>228</v>
      </c>
      <c r="F173" s="134">
        <f t="shared" si="70"/>
        <v>5023.8500000000004</v>
      </c>
      <c r="G173" s="88">
        <f>G172*D173</f>
        <v>1760.66</v>
      </c>
      <c r="H173" s="88">
        <f>H172*D173</f>
        <v>0</v>
      </c>
      <c r="I173" s="88">
        <f>I172*D173</f>
        <v>0</v>
      </c>
      <c r="J173" s="88">
        <f>J172*D173</f>
        <v>0</v>
      </c>
      <c r="K173" s="106">
        <f>K172*D173</f>
        <v>0</v>
      </c>
      <c r="L173" s="106">
        <f>L172*D173</f>
        <v>1730.5</v>
      </c>
      <c r="M173" s="106">
        <f>M172*D173</f>
        <v>1532.69</v>
      </c>
      <c r="N173" s="29"/>
      <c r="O173" s="29"/>
      <c r="P173" s="49" t="str">
        <f>VLOOKUP(B173,'Форма КП'!$B$27:$G$49,5,FALSE)</f>
        <v>Материал заказчика</v>
      </c>
      <c r="Q173" s="50"/>
      <c r="R173" s="49" t="str">
        <f t="shared" ref="R173:R174" si="92">P173</f>
        <v>Материал заказчика</v>
      </c>
      <c r="S173" s="50"/>
    </row>
    <row r="174" spans="1:19" x14ac:dyDescent="0.25">
      <c r="A174" s="132" t="s">
        <v>294</v>
      </c>
      <c r="B174" s="128" t="s">
        <v>484</v>
      </c>
      <c r="C174" s="133" t="s">
        <v>225</v>
      </c>
      <c r="D174" s="136">
        <v>0.15</v>
      </c>
      <c r="E174" s="132" t="s">
        <v>226</v>
      </c>
      <c r="F174" s="134">
        <f t="shared" si="70"/>
        <v>313.99</v>
      </c>
      <c r="G174" s="88">
        <f>G172*D174</f>
        <v>110.04</v>
      </c>
      <c r="H174" s="88">
        <f>H172*D174</f>
        <v>0</v>
      </c>
      <c r="I174" s="88">
        <f>I172*D174</f>
        <v>0</v>
      </c>
      <c r="J174" s="88">
        <f>J172*D174</f>
        <v>0</v>
      </c>
      <c r="K174" s="106">
        <f>K172*D174</f>
        <v>0</v>
      </c>
      <c r="L174" s="106">
        <f>L172*D174</f>
        <v>108.16</v>
      </c>
      <c r="M174" s="106">
        <f>M172*D174</f>
        <v>95.79</v>
      </c>
      <c r="N174" s="29"/>
      <c r="O174" s="29"/>
      <c r="P174" s="49" t="str">
        <f>VLOOKUP(B174,'Форма КП'!$B$27:$G$49,5,FALSE)</f>
        <v>Материал заказчика</v>
      </c>
      <c r="Q174" s="50"/>
      <c r="R174" s="49" t="str">
        <f t="shared" si="92"/>
        <v>Материал заказчика</v>
      </c>
      <c r="S174" s="50"/>
    </row>
    <row r="175" spans="1:19" ht="264" x14ac:dyDescent="0.25">
      <c r="A175" s="127" t="s">
        <v>295</v>
      </c>
      <c r="B175" s="128" t="s">
        <v>474</v>
      </c>
      <c r="C175" s="129" t="s">
        <v>782</v>
      </c>
      <c r="D175" s="130"/>
      <c r="E175" s="127" t="s">
        <v>224</v>
      </c>
      <c r="F175" s="131">
        <f t="shared" si="70"/>
        <v>111.86</v>
      </c>
      <c r="G175" s="115">
        <f>6.66*2.75+1.02*2.81</f>
        <v>21.18</v>
      </c>
      <c r="H175" s="115">
        <f>3.48*2.75</f>
        <v>9.57</v>
      </c>
      <c r="I175" s="115">
        <f>3.48*2.75</f>
        <v>9.57</v>
      </c>
      <c r="J175" s="115">
        <f>8.69*2.75</f>
        <v>23.9</v>
      </c>
      <c r="K175" s="115">
        <f>3.48*2.75</f>
        <v>9.57</v>
      </c>
      <c r="L175" s="115">
        <f>6.39*2.75+1.05*2.81</f>
        <v>20.52</v>
      </c>
      <c r="M175" s="115">
        <f>3.95*2.75+2.38*2.81</f>
        <v>17.55</v>
      </c>
      <c r="N175" s="104">
        <f>VLOOKUP(B175,'Форма КП'!$B$17:$G$25,5,FALSE)</f>
        <v>0</v>
      </c>
      <c r="O175" s="104">
        <f>N175*F175</f>
        <v>0</v>
      </c>
      <c r="P175" s="104"/>
      <c r="Q175" s="104"/>
      <c r="R175" s="104">
        <f>N175</f>
        <v>0</v>
      </c>
      <c r="S175" s="104">
        <f>N175*F175</f>
        <v>0</v>
      </c>
    </row>
    <row r="176" spans="1:19" x14ac:dyDescent="0.25">
      <c r="A176" s="132" t="s">
        <v>296</v>
      </c>
      <c r="B176" s="128" t="s">
        <v>524</v>
      </c>
      <c r="C176" s="133" t="s">
        <v>525</v>
      </c>
      <c r="D176" s="90">
        <v>2.25</v>
      </c>
      <c r="E176" s="132" t="s">
        <v>224</v>
      </c>
      <c r="F176" s="134">
        <f t="shared" si="70"/>
        <v>251.69</v>
      </c>
      <c r="G176" s="88">
        <f>G175*D176</f>
        <v>47.66</v>
      </c>
      <c r="H176" s="88">
        <f>H175*D176</f>
        <v>21.53</v>
      </c>
      <c r="I176" s="88">
        <f>I175*D176</f>
        <v>21.53</v>
      </c>
      <c r="J176" s="88">
        <f>J175*D176</f>
        <v>53.78</v>
      </c>
      <c r="K176" s="106">
        <f>K175*D176</f>
        <v>21.53</v>
      </c>
      <c r="L176" s="106">
        <f>L175*D176</f>
        <v>46.17</v>
      </c>
      <c r="M176" s="106">
        <f>M175*D176</f>
        <v>39.49</v>
      </c>
      <c r="N176" s="29"/>
      <c r="O176" s="29"/>
      <c r="P176" s="86">
        <f>VLOOKUP(B176,'Форма КП'!$B$27:$G$49,5,FALSE)</f>
        <v>0</v>
      </c>
      <c r="Q176" s="86">
        <f t="shared" ref="Q176:Q178" si="93">P176*F176</f>
        <v>0</v>
      </c>
      <c r="R176" s="32">
        <f t="shared" ref="R176:R178" si="94">P176</f>
        <v>0</v>
      </c>
      <c r="S176" s="32">
        <f t="shared" ref="S176:S178" si="95">P176*F176</f>
        <v>0</v>
      </c>
    </row>
    <row r="177" spans="1:19" x14ac:dyDescent="0.25">
      <c r="A177" s="132" t="s">
        <v>297</v>
      </c>
      <c r="B177" s="128" t="s">
        <v>477</v>
      </c>
      <c r="C177" s="133" t="s">
        <v>478</v>
      </c>
      <c r="D177" s="90">
        <v>0.86</v>
      </c>
      <c r="E177" s="132" t="s">
        <v>6</v>
      </c>
      <c r="F177" s="134">
        <f t="shared" si="70"/>
        <v>96.19</v>
      </c>
      <c r="G177" s="88">
        <f>G175*D177</f>
        <v>18.21</v>
      </c>
      <c r="H177" s="88">
        <f>H175*D177</f>
        <v>8.23</v>
      </c>
      <c r="I177" s="88">
        <f>I175*D177</f>
        <v>8.23</v>
      </c>
      <c r="J177" s="88">
        <f>J175*D177</f>
        <v>20.55</v>
      </c>
      <c r="K177" s="106">
        <f>K175*D177</f>
        <v>8.23</v>
      </c>
      <c r="L177" s="106">
        <f>L175*D177</f>
        <v>17.649999999999999</v>
      </c>
      <c r="M177" s="106">
        <f>M175*D177</f>
        <v>15.09</v>
      </c>
      <c r="N177" s="29"/>
      <c r="O177" s="29"/>
      <c r="P177" s="86">
        <f>VLOOKUP(B177,'Форма КП'!$B$27:$G$49,5,FALSE)</f>
        <v>0</v>
      </c>
      <c r="Q177" s="86">
        <f t="shared" si="93"/>
        <v>0</v>
      </c>
      <c r="R177" s="32">
        <f t="shared" si="94"/>
        <v>0</v>
      </c>
      <c r="S177" s="32">
        <f t="shared" si="95"/>
        <v>0</v>
      </c>
    </row>
    <row r="178" spans="1:19" x14ac:dyDescent="0.25">
      <c r="A178" s="132" t="s">
        <v>298</v>
      </c>
      <c r="B178" s="128" t="s">
        <v>479</v>
      </c>
      <c r="C178" s="133" t="s">
        <v>480</v>
      </c>
      <c r="D178" s="90">
        <v>2.34</v>
      </c>
      <c r="E178" s="132" t="s">
        <v>6</v>
      </c>
      <c r="F178" s="134">
        <f t="shared" si="70"/>
        <v>261.75</v>
      </c>
      <c r="G178" s="88">
        <f>G175*D178</f>
        <v>49.56</v>
      </c>
      <c r="H178" s="88">
        <f>H175*D178</f>
        <v>22.39</v>
      </c>
      <c r="I178" s="88">
        <f>I175*D178</f>
        <v>22.39</v>
      </c>
      <c r="J178" s="88">
        <f>J175*D178</f>
        <v>55.93</v>
      </c>
      <c r="K178" s="106">
        <f>K175*D178</f>
        <v>22.39</v>
      </c>
      <c r="L178" s="106">
        <f>L175*D178</f>
        <v>48.02</v>
      </c>
      <c r="M178" s="106">
        <f>M175*D178</f>
        <v>41.07</v>
      </c>
      <c r="N178" s="29"/>
      <c r="O178" s="29"/>
      <c r="P178" s="86">
        <f>VLOOKUP(B178,'Форма КП'!$B$27:$G$49,5,FALSE)</f>
        <v>0</v>
      </c>
      <c r="Q178" s="86">
        <f t="shared" si="93"/>
        <v>0</v>
      </c>
      <c r="R178" s="32">
        <f t="shared" si="94"/>
        <v>0</v>
      </c>
      <c r="S178" s="32">
        <f t="shared" si="95"/>
        <v>0</v>
      </c>
    </row>
    <row r="179" spans="1:19" x14ac:dyDescent="0.25">
      <c r="A179" s="119" t="s">
        <v>234</v>
      </c>
      <c r="B179" s="120"/>
      <c r="C179" s="121"/>
      <c r="D179" s="122"/>
      <c r="E179" s="123"/>
      <c r="F179" s="124"/>
      <c r="G179" s="125"/>
      <c r="H179" s="125"/>
      <c r="I179" s="125"/>
      <c r="J179" s="125"/>
      <c r="K179" s="125"/>
      <c r="L179" s="125"/>
      <c r="M179" s="125"/>
      <c r="N179" s="33"/>
      <c r="O179" s="33"/>
      <c r="P179" s="33"/>
      <c r="Q179" s="33"/>
      <c r="R179" s="33"/>
      <c r="S179" s="31"/>
    </row>
    <row r="180" spans="1:19" x14ac:dyDescent="0.25">
      <c r="A180" s="126" t="s">
        <v>223</v>
      </c>
      <c r="B180" s="120"/>
      <c r="C180" s="121"/>
      <c r="D180" s="122"/>
      <c r="E180" s="123"/>
      <c r="F180" s="124"/>
      <c r="G180" s="125"/>
      <c r="H180" s="125"/>
      <c r="I180" s="125"/>
      <c r="J180" s="125"/>
      <c r="K180" s="125"/>
      <c r="L180" s="125"/>
      <c r="M180" s="125"/>
      <c r="N180" s="33"/>
      <c r="O180" s="33"/>
      <c r="P180" s="33"/>
      <c r="Q180" s="33"/>
      <c r="R180" s="33"/>
      <c r="S180" s="31"/>
    </row>
    <row r="181" spans="1:19" ht="264" x14ac:dyDescent="0.25">
      <c r="A181" s="127" t="s">
        <v>299</v>
      </c>
      <c r="B181" s="128" t="s">
        <v>474</v>
      </c>
      <c r="C181" s="129" t="s">
        <v>782</v>
      </c>
      <c r="D181" s="130"/>
      <c r="E181" s="127" t="s">
        <v>224</v>
      </c>
      <c r="F181" s="131">
        <f t="shared" ref="F181:F206" si="96">SUM(G181:M181)</f>
        <v>187.58</v>
      </c>
      <c r="G181" s="113">
        <f>6.46*2.81-2.4*2.3+4.94*2.81</f>
        <v>26.51</v>
      </c>
      <c r="H181" s="113">
        <f>6.46*2.81-2.4*2.3+5.1*2.81</f>
        <v>26.96</v>
      </c>
      <c r="I181" s="113">
        <f>6.46*2.81-2.4*2.3+5.1*2.81</f>
        <v>26.96</v>
      </c>
      <c r="J181" s="113">
        <f>6.46*2.81-2.4*2.3+5.02*2.81</f>
        <v>26.74</v>
      </c>
      <c r="K181" s="113">
        <f>6.46*2.81-2.4*2.3+5.1*2.81</f>
        <v>26.96</v>
      </c>
      <c r="L181" s="113">
        <f>6.46*2.81-2.4*2.3+4.93*2.81</f>
        <v>26.49</v>
      </c>
      <c r="M181" s="113">
        <f>6.46*2.81-2.4*2.3+5.1*2.81</f>
        <v>26.96</v>
      </c>
      <c r="N181" s="104">
        <f>VLOOKUP(B181,'Форма КП'!$B$17:$G$25,5,FALSE)</f>
        <v>0</v>
      </c>
      <c r="O181" s="104">
        <f>N181*F181</f>
        <v>0</v>
      </c>
      <c r="P181" s="104"/>
      <c r="Q181" s="104"/>
      <c r="R181" s="104">
        <f>N181</f>
        <v>0</v>
      </c>
      <c r="S181" s="104">
        <f>N181*F181</f>
        <v>0</v>
      </c>
    </row>
    <row r="182" spans="1:19" x14ac:dyDescent="0.25">
      <c r="A182" s="132" t="s">
        <v>300</v>
      </c>
      <c r="B182" s="128" t="s">
        <v>475</v>
      </c>
      <c r="C182" s="133" t="s">
        <v>476</v>
      </c>
      <c r="D182" s="90">
        <v>2.25</v>
      </c>
      <c r="E182" s="132" t="s">
        <v>224</v>
      </c>
      <c r="F182" s="134">
        <f t="shared" si="96"/>
        <v>422.06</v>
      </c>
      <c r="G182" s="88">
        <f>G181*D182</f>
        <v>59.65</v>
      </c>
      <c r="H182" s="88">
        <f>H181*D182</f>
        <v>60.66</v>
      </c>
      <c r="I182" s="88">
        <f>I181*D182</f>
        <v>60.66</v>
      </c>
      <c r="J182" s="88">
        <f>J181*D182</f>
        <v>60.17</v>
      </c>
      <c r="K182" s="88">
        <f>K181*D182</f>
        <v>60.66</v>
      </c>
      <c r="L182" s="88">
        <f>L181*D182</f>
        <v>59.6</v>
      </c>
      <c r="M182" s="88">
        <f>M181*D182</f>
        <v>60.66</v>
      </c>
      <c r="N182" s="29"/>
      <c r="O182" s="29"/>
      <c r="P182" s="86">
        <f>VLOOKUP(B182,'Форма КП'!$B$27:$G$49,5,FALSE)</f>
        <v>0</v>
      </c>
      <c r="Q182" s="86">
        <f t="shared" ref="Q182:Q184" si="97">P182*F182</f>
        <v>0</v>
      </c>
      <c r="R182" s="32">
        <f t="shared" ref="R182:R184" si="98">P182</f>
        <v>0</v>
      </c>
      <c r="S182" s="32">
        <f t="shared" ref="S182:S184" si="99">P182*F182</f>
        <v>0</v>
      </c>
    </row>
    <row r="183" spans="1:19" x14ac:dyDescent="0.25">
      <c r="A183" s="132" t="s">
        <v>301</v>
      </c>
      <c r="B183" s="128" t="s">
        <v>477</v>
      </c>
      <c r="C183" s="133" t="s">
        <v>478</v>
      </c>
      <c r="D183" s="90">
        <v>0.86</v>
      </c>
      <c r="E183" s="132" t="s">
        <v>6</v>
      </c>
      <c r="F183" s="134">
        <f t="shared" si="96"/>
        <v>161.34</v>
      </c>
      <c r="G183" s="88">
        <f>G181*D183</f>
        <v>22.8</v>
      </c>
      <c r="H183" s="88">
        <f>H181*D183</f>
        <v>23.19</v>
      </c>
      <c r="I183" s="88">
        <f>I181*D183</f>
        <v>23.19</v>
      </c>
      <c r="J183" s="88">
        <f>J181*D183</f>
        <v>23</v>
      </c>
      <c r="K183" s="88">
        <f>K181*D183</f>
        <v>23.19</v>
      </c>
      <c r="L183" s="88">
        <f>L181*D183</f>
        <v>22.78</v>
      </c>
      <c r="M183" s="88">
        <f>M181*D183</f>
        <v>23.19</v>
      </c>
      <c r="N183" s="29"/>
      <c r="O183" s="29"/>
      <c r="P183" s="86">
        <f>VLOOKUP(B183,'Форма КП'!$B$27:$G$49,5,FALSE)</f>
        <v>0</v>
      </c>
      <c r="Q183" s="86">
        <f t="shared" si="97"/>
        <v>0</v>
      </c>
      <c r="R183" s="32">
        <f t="shared" si="98"/>
        <v>0</v>
      </c>
      <c r="S183" s="32">
        <f t="shared" si="99"/>
        <v>0</v>
      </c>
    </row>
    <row r="184" spans="1:19" x14ac:dyDescent="0.25">
      <c r="A184" s="132" t="s">
        <v>302</v>
      </c>
      <c r="B184" s="128" t="s">
        <v>479</v>
      </c>
      <c r="C184" s="133" t="s">
        <v>480</v>
      </c>
      <c r="D184" s="90">
        <v>2.34</v>
      </c>
      <c r="E184" s="132" t="s">
        <v>6</v>
      </c>
      <c r="F184" s="134">
        <f t="shared" si="96"/>
        <v>438.95</v>
      </c>
      <c r="G184" s="88">
        <f>G181*D184</f>
        <v>62.03</v>
      </c>
      <c r="H184" s="88">
        <f>H181*D184</f>
        <v>63.09</v>
      </c>
      <c r="I184" s="88">
        <f>I181*D184</f>
        <v>63.09</v>
      </c>
      <c r="J184" s="88">
        <f>J181*D184</f>
        <v>62.57</v>
      </c>
      <c r="K184" s="88">
        <f>K181*D184</f>
        <v>63.09</v>
      </c>
      <c r="L184" s="88">
        <f>L181*D184</f>
        <v>61.99</v>
      </c>
      <c r="M184" s="88">
        <f>M181*D184</f>
        <v>63.09</v>
      </c>
      <c r="N184" s="29"/>
      <c r="O184" s="29"/>
      <c r="P184" s="86">
        <f>VLOOKUP(B184,'Форма КП'!$B$27:$G$49,5,FALSE)</f>
        <v>0</v>
      </c>
      <c r="Q184" s="86">
        <f t="shared" si="97"/>
        <v>0</v>
      </c>
      <c r="R184" s="32">
        <f t="shared" si="98"/>
        <v>0</v>
      </c>
      <c r="S184" s="32">
        <f t="shared" si="99"/>
        <v>0</v>
      </c>
    </row>
    <row r="185" spans="1:19" ht="216" x14ac:dyDescent="0.25">
      <c r="A185" s="127" t="s">
        <v>303</v>
      </c>
      <c r="B185" s="128" t="s">
        <v>510</v>
      </c>
      <c r="C185" s="129" t="s">
        <v>776</v>
      </c>
      <c r="D185" s="130"/>
      <c r="E185" s="127" t="s">
        <v>224</v>
      </c>
      <c r="F185" s="131">
        <f t="shared" si="96"/>
        <v>767.22</v>
      </c>
      <c r="G185" s="113">
        <f>(64.23-2)*2.7-12.99*2.1-1.37*1.7</f>
        <v>138.41</v>
      </c>
      <c r="H185" s="113">
        <f>(45.78-2)*2.7-8.2*2.1-3.05*1.7</f>
        <v>95.8</v>
      </c>
      <c r="I185" s="113">
        <f>(45.78-2)*2.7-8.2*2.1-3.05*1.7</f>
        <v>95.8</v>
      </c>
      <c r="J185" s="113">
        <f>(58-2)*2.7-11.99*2.1-1.37*1.7</f>
        <v>123.69</v>
      </c>
      <c r="K185" s="113">
        <f>(45.79-2)*2.7-8.2*2.1-3.05*1.7</f>
        <v>95.83</v>
      </c>
      <c r="L185" s="113">
        <f>(55.94-2)*2.7-10.2*2.1-1.37*1.7</f>
        <v>121.89</v>
      </c>
      <c r="M185" s="113">
        <f>(45.78-2)*2.7-3.05*1.7-8.2*2.1</f>
        <v>95.8</v>
      </c>
      <c r="N185" s="104">
        <f>VLOOKUP(B185,'Форма КП'!$B$17:$G$25,5,FALSE)</f>
        <v>0</v>
      </c>
      <c r="O185" s="104">
        <f>N185*F185</f>
        <v>0</v>
      </c>
      <c r="P185" s="104"/>
      <c r="Q185" s="104"/>
      <c r="R185" s="104">
        <f>N185</f>
        <v>0</v>
      </c>
      <c r="S185" s="104">
        <f>N185*F185</f>
        <v>0</v>
      </c>
    </row>
    <row r="186" spans="1:19" x14ac:dyDescent="0.25">
      <c r="A186" s="132" t="s">
        <v>304</v>
      </c>
      <c r="B186" s="128" t="s">
        <v>486</v>
      </c>
      <c r="C186" s="133" t="s">
        <v>487</v>
      </c>
      <c r="D186" s="90">
        <v>1.45</v>
      </c>
      <c r="E186" s="132" t="s">
        <v>6</v>
      </c>
      <c r="F186" s="134">
        <f t="shared" si="96"/>
        <v>1112.46</v>
      </c>
      <c r="G186" s="88">
        <f>G185*D186</f>
        <v>200.69</v>
      </c>
      <c r="H186" s="88">
        <f>H185*D186</f>
        <v>138.91</v>
      </c>
      <c r="I186" s="88">
        <f>I185*D186</f>
        <v>138.91</v>
      </c>
      <c r="J186" s="88">
        <f>J185*D186</f>
        <v>179.35</v>
      </c>
      <c r="K186" s="88">
        <f>K185*D186</f>
        <v>138.94999999999999</v>
      </c>
      <c r="L186" s="88">
        <f>L185*D186</f>
        <v>176.74</v>
      </c>
      <c r="M186" s="88">
        <f>M185*D186</f>
        <v>138.91</v>
      </c>
      <c r="N186" s="29"/>
      <c r="O186" s="29"/>
      <c r="P186" s="86">
        <f>VLOOKUP(B186,'Форма КП'!$B$27:$G$49,5,FALSE)</f>
        <v>0</v>
      </c>
      <c r="Q186" s="86">
        <f t="shared" ref="Q186" si="100">P186*F186</f>
        <v>0</v>
      </c>
      <c r="R186" s="32">
        <f t="shared" ref="R186:R188" si="101">P186</f>
        <v>0</v>
      </c>
      <c r="S186" s="32">
        <f t="shared" ref="S186" si="102">P186*F186</f>
        <v>0</v>
      </c>
    </row>
    <row r="187" spans="1:19" x14ac:dyDescent="0.25">
      <c r="A187" s="132" t="s">
        <v>305</v>
      </c>
      <c r="B187" s="128" t="s">
        <v>488</v>
      </c>
      <c r="C187" s="133" t="s">
        <v>489</v>
      </c>
      <c r="D187" s="90">
        <v>0.2</v>
      </c>
      <c r="E187" s="132" t="s">
        <v>228</v>
      </c>
      <c r="F187" s="134">
        <f t="shared" si="96"/>
        <v>155.61000000000001</v>
      </c>
      <c r="G187" s="88">
        <f>((64.23-2)*2.7-12.99*2.1-1.37*1.7)*D187</f>
        <v>27.68</v>
      </c>
      <c r="H187" s="88">
        <f>(45.78*2.7-8.2*2.1-3.05*1.7)*D187</f>
        <v>20.239999999999998</v>
      </c>
      <c r="I187" s="88">
        <f>(45.78*2.7-8.2*2.1-3.05*1.7)*D187</f>
        <v>20.239999999999998</v>
      </c>
      <c r="J187" s="88">
        <f>((58-2)*2.7-11.99*2.1-1.37*1.7)*D187</f>
        <v>24.74</v>
      </c>
      <c r="K187" s="88">
        <f>((45.79-2)*2.7-8.2*2.1-3.05*1.7)*D187</f>
        <v>19.170000000000002</v>
      </c>
      <c r="L187" s="88">
        <f>((55.94-2)*2.7-10.2*2.1-1.37*1.7)*D187</f>
        <v>24.38</v>
      </c>
      <c r="M187" s="88">
        <f>((45.78-2)*2.7-3.05*1.7-8.2*2.1)*D187</f>
        <v>19.16</v>
      </c>
      <c r="N187" s="29"/>
      <c r="O187" s="29"/>
      <c r="P187" s="49" t="str">
        <f>VLOOKUP(B187,'Форма КП'!$B$27:$G$49,5,FALSE)</f>
        <v>Материал заказчика</v>
      </c>
      <c r="Q187" s="50"/>
      <c r="R187" s="49" t="str">
        <f t="shared" si="101"/>
        <v>Материал заказчика</v>
      </c>
      <c r="S187" s="50"/>
    </row>
    <row r="188" spans="1:19" x14ac:dyDescent="0.25">
      <c r="A188" s="132" t="s">
        <v>306</v>
      </c>
      <c r="B188" s="128" t="s">
        <v>511</v>
      </c>
      <c r="C188" s="133" t="s">
        <v>512</v>
      </c>
      <c r="D188" s="90">
        <v>16</v>
      </c>
      <c r="E188" s="132" t="s">
        <v>228</v>
      </c>
      <c r="F188" s="134">
        <f t="shared" si="96"/>
        <v>12275.52</v>
      </c>
      <c r="G188" s="88">
        <f>G185*D188</f>
        <v>2214.56</v>
      </c>
      <c r="H188" s="88">
        <f>H185*D188</f>
        <v>1532.8</v>
      </c>
      <c r="I188" s="88">
        <f>I185*D188</f>
        <v>1532.8</v>
      </c>
      <c r="J188" s="88">
        <f>J185*D188</f>
        <v>1979.04</v>
      </c>
      <c r="K188" s="88">
        <f>K185*D188</f>
        <v>1533.28</v>
      </c>
      <c r="L188" s="88">
        <f>L185*D188</f>
        <v>1950.24</v>
      </c>
      <c r="M188" s="88">
        <f>M185*D188</f>
        <v>1532.8</v>
      </c>
      <c r="N188" s="29"/>
      <c r="O188" s="29"/>
      <c r="P188" s="49" t="str">
        <f>VLOOKUP(B188,'Форма КП'!$B$27:$G$49,5,FALSE)</f>
        <v>Материал заказчика</v>
      </c>
      <c r="Q188" s="50"/>
      <c r="R188" s="49" t="str">
        <f t="shared" si="101"/>
        <v>Материал заказчика</v>
      </c>
      <c r="S188" s="50"/>
    </row>
    <row r="189" spans="1:19" ht="216" x14ac:dyDescent="0.25">
      <c r="A189" s="127" t="s">
        <v>307</v>
      </c>
      <c r="B189" s="128" t="s">
        <v>510</v>
      </c>
      <c r="C189" s="129" t="s">
        <v>776</v>
      </c>
      <c r="D189" s="130"/>
      <c r="E189" s="127" t="s">
        <v>224</v>
      </c>
      <c r="F189" s="131">
        <f t="shared" si="96"/>
        <v>183.61</v>
      </c>
      <c r="G189" s="113">
        <f>12.7*2.7-2*2.1</f>
        <v>30.09</v>
      </c>
      <c r="H189" s="113">
        <f>10.8*2.7-2*2.1</f>
        <v>24.96</v>
      </c>
      <c r="I189" s="113">
        <f>10.8*2.7-2*2.1</f>
        <v>24.96</v>
      </c>
      <c r="J189" s="113">
        <f>13.21*2.7-2*2.1</f>
        <v>31.47</v>
      </c>
      <c r="K189" s="113">
        <f>10.8*2.7-2*2.1</f>
        <v>24.96</v>
      </c>
      <c r="L189" s="113">
        <f>9.78*2.7-2*2.1</f>
        <v>22.21</v>
      </c>
      <c r="M189" s="113">
        <f>10.8*2.7-2*2.1</f>
        <v>24.96</v>
      </c>
      <c r="N189" s="104">
        <f>VLOOKUP(B189,'Форма КП'!$B$17:$G$25,5,FALSE)</f>
        <v>0</v>
      </c>
      <c r="O189" s="104">
        <f>N189*F189</f>
        <v>0</v>
      </c>
      <c r="P189" s="104"/>
      <c r="Q189" s="104"/>
      <c r="R189" s="104">
        <f>N189</f>
        <v>0</v>
      </c>
      <c r="S189" s="104">
        <f>N189*F189</f>
        <v>0</v>
      </c>
    </row>
    <row r="190" spans="1:19" x14ac:dyDescent="0.25">
      <c r="A190" s="132" t="s">
        <v>308</v>
      </c>
      <c r="B190" s="128" t="s">
        <v>486</v>
      </c>
      <c r="C190" s="133" t="s">
        <v>487</v>
      </c>
      <c r="D190" s="90">
        <v>1.45</v>
      </c>
      <c r="E190" s="132" t="s">
        <v>6</v>
      </c>
      <c r="F190" s="134">
        <f t="shared" si="96"/>
        <v>266.22000000000003</v>
      </c>
      <c r="G190" s="88">
        <f>G189*D190</f>
        <v>43.63</v>
      </c>
      <c r="H190" s="88">
        <f>H189*D190</f>
        <v>36.19</v>
      </c>
      <c r="I190" s="88">
        <f>I189*D190</f>
        <v>36.19</v>
      </c>
      <c r="J190" s="88">
        <f>J189*D190</f>
        <v>45.63</v>
      </c>
      <c r="K190" s="88">
        <f>K189*D190</f>
        <v>36.19</v>
      </c>
      <c r="L190" s="88">
        <f>L189*D190</f>
        <v>32.200000000000003</v>
      </c>
      <c r="M190" s="88">
        <f>M189*D190</f>
        <v>36.19</v>
      </c>
      <c r="N190" s="29"/>
      <c r="O190" s="29"/>
      <c r="P190" s="86">
        <f>VLOOKUP(B190,'Форма КП'!$B$27:$G$49,5,FALSE)</f>
        <v>0</v>
      </c>
      <c r="Q190" s="86">
        <f t="shared" ref="Q190" si="103">P190*F190</f>
        <v>0</v>
      </c>
      <c r="R190" s="32">
        <f t="shared" ref="R190:R192" si="104">P190</f>
        <v>0</v>
      </c>
      <c r="S190" s="32">
        <f t="shared" ref="S190" si="105">P190*F190</f>
        <v>0</v>
      </c>
    </row>
    <row r="191" spans="1:19" x14ac:dyDescent="0.25">
      <c r="A191" s="132" t="s">
        <v>309</v>
      </c>
      <c r="B191" s="128" t="s">
        <v>484</v>
      </c>
      <c r="C191" s="133" t="s">
        <v>225</v>
      </c>
      <c r="D191" s="90">
        <v>0.4</v>
      </c>
      <c r="E191" s="132" t="s">
        <v>226</v>
      </c>
      <c r="F191" s="134">
        <f t="shared" si="96"/>
        <v>73.430000000000007</v>
      </c>
      <c r="G191" s="88">
        <f>(12.7*2.7-2*2.1)*D191</f>
        <v>12.04</v>
      </c>
      <c r="H191" s="88">
        <f>(10.8*2.7-2*2.1)*D191</f>
        <v>9.98</v>
      </c>
      <c r="I191" s="88">
        <f>(10.8*2.7-2*2.1)*D191</f>
        <v>9.98</v>
      </c>
      <c r="J191" s="88">
        <f>(13.21*2.7-2*2.1)*D191</f>
        <v>12.59</v>
      </c>
      <c r="K191" s="88">
        <f>(10.8*2.7-2*2.1)*D191</f>
        <v>9.98</v>
      </c>
      <c r="L191" s="88">
        <f>(9.78*2.7-2*2.1)*D191</f>
        <v>8.8800000000000008</v>
      </c>
      <c r="M191" s="88">
        <f>(10.8*2.7-2*2.1)*D191</f>
        <v>9.98</v>
      </c>
      <c r="N191" s="29"/>
      <c r="O191" s="29"/>
      <c r="P191" s="49" t="str">
        <f>VLOOKUP(B191,'Форма КП'!$B$27:$G$49,5,FALSE)</f>
        <v>Материал заказчика</v>
      </c>
      <c r="Q191" s="50"/>
      <c r="R191" s="49" t="str">
        <f t="shared" si="104"/>
        <v>Материал заказчика</v>
      </c>
      <c r="S191" s="50"/>
    </row>
    <row r="192" spans="1:19" x14ac:dyDescent="0.25">
      <c r="A192" s="132" t="s">
        <v>310</v>
      </c>
      <c r="B192" s="128" t="s">
        <v>511</v>
      </c>
      <c r="C192" s="133" t="s">
        <v>512</v>
      </c>
      <c r="D192" s="90">
        <v>16</v>
      </c>
      <c r="E192" s="132" t="s">
        <v>228</v>
      </c>
      <c r="F192" s="134">
        <f t="shared" si="96"/>
        <v>2937.76</v>
      </c>
      <c r="G192" s="88">
        <f>G189*D192</f>
        <v>481.44</v>
      </c>
      <c r="H192" s="88">
        <f>H189*D192</f>
        <v>399.36</v>
      </c>
      <c r="I192" s="88">
        <f>I189*D192</f>
        <v>399.36</v>
      </c>
      <c r="J192" s="88">
        <f>J189*D192</f>
        <v>503.52</v>
      </c>
      <c r="K192" s="88">
        <f>K189*D192</f>
        <v>399.36</v>
      </c>
      <c r="L192" s="88">
        <f>L189*D192</f>
        <v>355.36</v>
      </c>
      <c r="M192" s="88">
        <f>M189*D192</f>
        <v>399.36</v>
      </c>
      <c r="N192" s="29"/>
      <c r="O192" s="29"/>
      <c r="P192" s="49" t="str">
        <f>VLOOKUP(B192,'Форма КП'!$B$27:$G$49,5,FALSE)</f>
        <v>Материал заказчика</v>
      </c>
      <c r="Q192" s="50"/>
      <c r="R192" s="49" t="str">
        <f t="shared" si="104"/>
        <v>Материал заказчика</v>
      </c>
      <c r="S192" s="50"/>
    </row>
    <row r="193" spans="1:19" ht="120" x14ac:dyDescent="0.25">
      <c r="A193" s="127" t="s">
        <v>311</v>
      </c>
      <c r="B193" s="128" t="s">
        <v>513</v>
      </c>
      <c r="C193" s="129" t="s">
        <v>777</v>
      </c>
      <c r="D193" s="130"/>
      <c r="E193" s="127" t="s">
        <v>224</v>
      </c>
      <c r="F193" s="131">
        <f t="shared" si="96"/>
        <v>669.66</v>
      </c>
      <c r="G193" s="115">
        <f>(59.41-2)*2.7-13.69*2.1</f>
        <v>126.26</v>
      </c>
      <c r="H193" s="115">
        <f>(39.06-2)*2.7-8.9*2.1-1.37*1.7</f>
        <v>79.040000000000006</v>
      </c>
      <c r="I193" s="115">
        <f>(39.06-2)*2.7-8.9*2.1-1.37*1.7</f>
        <v>79.040000000000006</v>
      </c>
      <c r="J193" s="115">
        <f>52.31*2.7-12.69*2.1</f>
        <v>114.59</v>
      </c>
      <c r="K193" s="115">
        <f>39.06*2.7-8.9*2.1-1.37*1.7</f>
        <v>84.44</v>
      </c>
      <c r="L193" s="115">
        <f>48.2*2.7-10.9*2.1</f>
        <v>107.25</v>
      </c>
      <c r="M193" s="115">
        <f>(39.06-2)*2.7-8.9*2.1-1.37*1.7</f>
        <v>79.040000000000006</v>
      </c>
      <c r="N193" s="104">
        <f>VLOOKUP(B193,'Форма КП'!$B$17:$G$25,5,FALSE)</f>
        <v>0</v>
      </c>
      <c r="O193" s="104">
        <f>N193*F193</f>
        <v>0</v>
      </c>
      <c r="P193" s="104"/>
      <c r="Q193" s="104"/>
      <c r="R193" s="104">
        <f>N193</f>
        <v>0</v>
      </c>
      <c r="S193" s="104">
        <f>N193*F193</f>
        <v>0</v>
      </c>
    </row>
    <row r="194" spans="1:19" x14ac:dyDescent="0.25">
      <c r="A194" s="132" t="s">
        <v>312</v>
      </c>
      <c r="B194" s="128" t="s">
        <v>484</v>
      </c>
      <c r="C194" s="133" t="s">
        <v>225</v>
      </c>
      <c r="D194" s="90">
        <v>0.15</v>
      </c>
      <c r="E194" s="132" t="s">
        <v>226</v>
      </c>
      <c r="F194" s="134">
        <f t="shared" si="96"/>
        <v>100.47</v>
      </c>
      <c r="G194" s="88">
        <f>G193*D194</f>
        <v>18.940000000000001</v>
      </c>
      <c r="H194" s="88">
        <f>H193*D194</f>
        <v>11.86</v>
      </c>
      <c r="I194" s="88">
        <f>I193*D194</f>
        <v>11.86</v>
      </c>
      <c r="J194" s="88">
        <f>J193*D194</f>
        <v>17.190000000000001</v>
      </c>
      <c r="K194" s="88">
        <f>K193*D194</f>
        <v>12.67</v>
      </c>
      <c r="L194" s="88">
        <f>L193*D194</f>
        <v>16.09</v>
      </c>
      <c r="M194" s="88">
        <f>M193*D194</f>
        <v>11.86</v>
      </c>
      <c r="N194" s="29"/>
      <c r="O194" s="29"/>
      <c r="P194" s="49" t="str">
        <f>VLOOKUP(B194,'Форма КП'!$B$27:$G$49,5,FALSE)</f>
        <v>Материал заказчика</v>
      </c>
      <c r="Q194" s="50"/>
      <c r="R194" s="49" t="str">
        <f t="shared" ref="R194:R195" si="106">P194</f>
        <v>Материал заказчика</v>
      </c>
      <c r="S194" s="50"/>
    </row>
    <row r="195" spans="1:19" x14ac:dyDescent="0.25">
      <c r="A195" s="132" t="s">
        <v>313</v>
      </c>
      <c r="B195" s="128" t="s">
        <v>514</v>
      </c>
      <c r="C195" s="133" t="s">
        <v>515</v>
      </c>
      <c r="D195" s="90">
        <v>5</v>
      </c>
      <c r="E195" s="132" t="s">
        <v>228</v>
      </c>
      <c r="F195" s="134">
        <f t="shared" si="96"/>
        <v>3348.3</v>
      </c>
      <c r="G195" s="88">
        <f>G193*D195</f>
        <v>631.29999999999995</v>
      </c>
      <c r="H195" s="88">
        <f>H193*D195</f>
        <v>395.2</v>
      </c>
      <c r="I195" s="88">
        <f>I193*D195</f>
        <v>395.2</v>
      </c>
      <c r="J195" s="88">
        <f>J193*D195</f>
        <v>572.95000000000005</v>
      </c>
      <c r="K195" s="88">
        <f>K193*D195</f>
        <v>422.2</v>
      </c>
      <c r="L195" s="88">
        <f>L193*D195</f>
        <v>536.25</v>
      </c>
      <c r="M195" s="88">
        <f>M193*D195</f>
        <v>395.2</v>
      </c>
      <c r="N195" s="29"/>
      <c r="O195" s="29"/>
      <c r="P195" s="49" t="str">
        <f>VLOOKUP(B195,'Форма КП'!$B$27:$G$49,5,FALSE)</f>
        <v>Материал заказчика</v>
      </c>
      <c r="Q195" s="50"/>
      <c r="R195" s="49" t="str">
        <f t="shared" si="106"/>
        <v>Материал заказчика</v>
      </c>
      <c r="S195" s="50"/>
    </row>
    <row r="196" spans="1:19" ht="156" x14ac:dyDescent="0.25">
      <c r="A196" s="127" t="s">
        <v>314</v>
      </c>
      <c r="B196" s="128" t="s">
        <v>493</v>
      </c>
      <c r="C196" s="129" t="s">
        <v>780</v>
      </c>
      <c r="D196" s="130"/>
      <c r="E196" s="127" t="s">
        <v>224</v>
      </c>
      <c r="F196" s="131">
        <f t="shared" si="96"/>
        <v>14.4</v>
      </c>
      <c r="G196" s="112">
        <f>0.2*2*6</f>
        <v>2.4</v>
      </c>
      <c r="H196" s="112">
        <f t="shared" ref="H196:M196" si="107">0.2*2*5</f>
        <v>2</v>
      </c>
      <c r="I196" s="112">
        <f t="shared" si="107"/>
        <v>2</v>
      </c>
      <c r="J196" s="112">
        <f t="shared" si="107"/>
        <v>2</v>
      </c>
      <c r="K196" s="112">
        <f t="shared" si="107"/>
        <v>2</v>
      </c>
      <c r="L196" s="112">
        <f t="shared" si="107"/>
        <v>2</v>
      </c>
      <c r="M196" s="112">
        <f t="shared" si="107"/>
        <v>2</v>
      </c>
      <c r="N196" s="104">
        <f>VLOOKUP(B196,'Форма КП'!$B$17:$G$25,5,FALSE)</f>
        <v>0</v>
      </c>
      <c r="O196" s="104">
        <f>N196*F196</f>
        <v>0</v>
      </c>
      <c r="P196" s="104"/>
      <c r="Q196" s="104"/>
      <c r="R196" s="104">
        <f>N196</f>
        <v>0</v>
      </c>
      <c r="S196" s="104">
        <f>N196*F196</f>
        <v>0</v>
      </c>
    </row>
    <row r="197" spans="1:19" x14ac:dyDescent="0.25">
      <c r="A197" s="132" t="s">
        <v>315</v>
      </c>
      <c r="B197" s="128" t="s">
        <v>484</v>
      </c>
      <c r="C197" s="133" t="s">
        <v>225</v>
      </c>
      <c r="D197" s="90">
        <v>0.15</v>
      </c>
      <c r="E197" s="132" t="s">
        <v>226</v>
      </c>
      <c r="F197" s="134">
        <f t="shared" si="96"/>
        <v>2.16</v>
      </c>
      <c r="G197" s="88">
        <f>G196*D197</f>
        <v>0.36</v>
      </c>
      <c r="H197" s="88">
        <f>H196*D197</f>
        <v>0.3</v>
      </c>
      <c r="I197" s="88">
        <f>I196*D197</f>
        <v>0.3</v>
      </c>
      <c r="J197" s="88">
        <f>J196*D197</f>
        <v>0.3</v>
      </c>
      <c r="K197" s="88">
        <f>K196*D197</f>
        <v>0.3</v>
      </c>
      <c r="L197" s="88">
        <f>L196*D197</f>
        <v>0.3</v>
      </c>
      <c r="M197" s="88">
        <f>M196*D197</f>
        <v>0.3</v>
      </c>
      <c r="N197" s="29"/>
      <c r="O197" s="29"/>
      <c r="P197" s="49" t="str">
        <f>VLOOKUP(B197,'Форма КП'!$B$27:$G$49,5,FALSE)</f>
        <v>Материал заказчика</v>
      </c>
      <c r="Q197" s="50"/>
      <c r="R197" s="49" t="str">
        <f t="shared" ref="R197:R200" si="108">P197</f>
        <v>Материал заказчика</v>
      </c>
      <c r="S197" s="50"/>
    </row>
    <row r="198" spans="1:19" x14ac:dyDescent="0.25">
      <c r="A198" s="132" t="s">
        <v>316</v>
      </c>
      <c r="B198" s="128" t="s">
        <v>496</v>
      </c>
      <c r="C198" s="133" t="s">
        <v>227</v>
      </c>
      <c r="D198" s="90">
        <v>10</v>
      </c>
      <c r="E198" s="132" t="s">
        <v>228</v>
      </c>
      <c r="F198" s="134">
        <f t="shared" si="96"/>
        <v>144</v>
      </c>
      <c r="G198" s="88">
        <f>G196*D198</f>
        <v>24</v>
      </c>
      <c r="H198" s="88">
        <f>H196*D198</f>
        <v>20</v>
      </c>
      <c r="I198" s="88">
        <f>I196*D198</f>
        <v>20</v>
      </c>
      <c r="J198" s="88">
        <f>J196*D198</f>
        <v>20</v>
      </c>
      <c r="K198" s="88">
        <f>K196*D198</f>
        <v>20</v>
      </c>
      <c r="L198" s="88">
        <f>L196*D198</f>
        <v>20</v>
      </c>
      <c r="M198" s="88">
        <f>M196*D198</f>
        <v>20</v>
      </c>
      <c r="N198" s="29"/>
      <c r="O198" s="29"/>
      <c r="P198" s="49" t="str">
        <f>VLOOKUP(B198,'Форма КП'!$B$27:$G$49,5,FALSE)</f>
        <v>Материал заказчика</v>
      </c>
      <c r="Q198" s="50"/>
      <c r="R198" s="49" t="str">
        <f t="shared" si="108"/>
        <v>Материал заказчика</v>
      </c>
      <c r="S198" s="50"/>
    </row>
    <row r="199" spans="1:19" x14ac:dyDescent="0.25">
      <c r="A199" s="132" t="s">
        <v>317</v>
      </c>
      <c r="B199" s="128" t="s">
        <v>523</v>
      </c>
      <c r="C199" s="133" t="s">
        <v>229</v>
      </c>
      <c r="D199" s="90">
        <v>0.2</v>
      </c>
      <c r="E199" s="132" t="s">
        <v>228</v>
      </c>
      <c r="F199" s="134">
        <f t="shared" si="96"/>
        <v>2.88</v>
      </c>
      <c r="G199" s="88">
        <f>G196*D199</f>
        <v>0.48</v>
      </c>
      <c r="H199" s="88">
        <f>H196*D199</f>
        <v>0.4</v>
      </c>
      <c r="I199" s="88">
        <f>I196*D199</f>
        <v>0.4</v>
      </c>
      <c r="J199" s="88">
        <f>J196*D199</f>
        <v>0.4</v>
      </c>
      <c r="K199" s="88">
        <f>K196*D199</f>
        <v>0.4</v>
      </c>
      <c r="L199" s="88">
        <f>L196*D199</f>
        <v>0.4</v>
      </c>
      <c r="M199" s="88">
        <f>M196*D199</f>
        <v>0.4</v>
      </c>
      <c r="N199" s="29"/>
      <c r="O199" s="29"/>
      <c r="P199" s="49" t="str">
        <f>VLOOKUP(B199,'Форма КП'!$B$27:$G$49,5,FALSE)</f>
        <v>Материал заказчика</v>
      </c>
      <c r="Q199" s="50"/>
      <c r="R199" s="49" t="str">
        <f t="shared" si="108"/>
        <v>Материал заказчика</v>
      </c>
      <c r="S199" s="50"/>
    </row>
    <row r="200" spans="1:19" x14ac:dyDescent="0.25">
      <c r="A200" s="132" t="s">
        <v>319</v>
      </c>
      <c r="B200" s="128" t="s">
        <v>501</v>
      </c>
      <c r="C200" s="133" t="s">
        <v>502</v>
      </c>
      <c r="D200" s="90">
        <v>1.05</v>
      </c>
      <c r="E200" s="132" t="s">
        <v>224</v>
      </c>
      <c r="F200" s="134">
        <f t="shared" si="96"/>
        <v>15.12</v>
      </c>
      <c r="G200" s="88">
        <f>G196*D200</f>
        <v>2.52</v>
      </c>
      <c r="H200" s="88">
        <f>H196*D200</f>
        <v>2.1</v>
      </c>
      <c r="I200" s="88">
        <f>I196*D200</f>
        <v>2.1</v>
      </c>
      <c r="J200" s="88">
        <f>J196*D200</f>
        <v>2.1</v>
      </c>
      <c r="K200" s="88">
        <f>K196*D200</f>
        <v>2.1</v>
      </c>
      <c r="L200" s="88">
        <f>L196*D200</f>
        <v>2.1</v>
      </c>
      <c r="M200" s="88">
        <f>M196*D200</f>
        <v>2.1</v>
      </c>
      <c r="N200" s="29"/>
      <c r="O200" s="29"/>
      <c r="P200" s="49" t="str">
        <f>VLOOKUP(B200,'Форма КП'!$B$27:$G$49,5,FALSE)</f>
        <v>Материал заказчика</v>
      </c>
      <c r="Q200" s="50"/>
      <c r="R200" s="49" t="str">
        <f t="shared" si="108"/>
        <v>Материал заказчика</v>
      </c>
      <c r="S200" s="50"/>
    </row>
    <row r="201" spans="1:19" ht="108" x14ac:dyDescent="0.25">
      <c r="A201" s="127" t="s">
        <v>320</v>
      </c>
      <c r="B201" s="128" t="s">
        <v>505</v>
      </c>
      <c r="C201" s="129" t="s">
        <v>779</v>
      </c>
      <c r="D201" s="130"/>
      <c r="E201" s="127" t="s">
        <v>224</v>
      </c>
      <c r="F201" s="131">
        <f t="shared" si="96"/>
        <v>247.76</v>
      </c>
      <c r="G201" s="113">
        <v>35.69</v>
      </c>
      <c r="H201" s="113">
        <v>35.18</v>
      </c>
      <c r="I201" s="113">
        <v>35.18</v>
      </c>
      <c r="J201" s="113">
        <v>35.659999999999997</v>
      </c>
      <c r="K201" s="113">
        <v>35.18</v>
      </c>
      <c r="L201" s="113">
        <v>35.69</v>
      </c>
      <c r="M201" s="113">
        <v>35.18</v>
      </c>
      <c r="N201" s="104">
        <f>VLOOKUP(B201,'Форма КП'!$B$17:$G$25,5,FALSE)</f>
        <v>0</v>
      </c>
      <c r="O201" s="104">
        <f>N201*F201</f>
        <v>0</v>
      </c>
      <c r="P201" s="104"/>
      <c r="Q201" s="104"/>
      <c r="R201" s="104">
        <f>N201</f>
        <v>0</v>
      </c>
      <c r="S201" s="104">
        <f>N201*F201</f>
        <v>0</v>
      </c>
    </row>
    <row r="202" spans="1:19" x14ac:dyDescent="0.25">
      <c r="A202" s="132" t="s">
        <v>321</v>
      </c>
      <c r="B202" s="128" t="s">
        <v>484</v>
      </c>
      <c r="C202" s="133" t="s">
        <v>225</v>
      </c>
      <c r="D202" s="90">
        <v>0.15</v>
      </c>
      <c r="E202" s="132" t="s">
        <v>226</v>
      </c>
      <c r="F202" s="134">
        <f t="shared" si="96"/>
        <v>37.17</v>
      </c>
      <c r="G202" s="88">
        <f>G201*D202</f>
        <v>5.35</v>
      </c>
      <c r="H202" s="88">
        <f>H201*D202</f>
        <v>5.28</v>
      </c>
      <c r="I202" s="88">
        <f>I201*D202</f>
        <v>5.28</v>
      </c>
      <c r="J202" s="88">
        <f>J201*D202</f>
        <v>5.35</v>
      </c>
      <c r="K202" s="88">
        <f>K201*D202</f>
        <v>5.28</v>
      </c>
      <c r="L202" s="88">
        <f>L201*D202</f>
        <v>5.35</v>
      </c>
      <c r="M202" s="88">
        <f>M201*D202</f>
        <v>5.28</v>
      </c>
      <c r="N202" s="29"/>
      <c r="O202" s="29"/>
      <c r="P202" s="49" t="str">
        <f>VLOOKUP(B202,'Форма КП'!$B$27:$G$49,5,FALSE)</f>
        <v>Материал заказчика</v>
      </c>
      <c r="Q202" s="50"/>
      <c r="R202" s="49" t="str">
        <f t="shared" ref="R202:R203" si="109">P202</f>
        <v>Материал заказчика</v>
      </c>
      <c r="S202" s="50"/>
    </row>
    <row r="203" spans="1:19" ht="24" x14ac:dyDescent="0.25">
      <c r="A203" s="132" t="s">
        <v>322</v>
      </c>
      <c r="B203" s="128" t="s">
        <v>506</v>
      </c>
      <c r="C203" s="133" t="s">
        <v>507</v>
      </c>
      <c r="D203" s="90">
        <v>0.25</v>
      </c>
      <c r="E203" s="132" t="s">
        <v>226</v>
      </c>
      <c r="F203" s="134">
        <f t="shared" si="96"/>
        <v>61.96</v>
      </c>
      <c r="G203" s="88">
        <f>G201*D203</f>
        <v>8.92</v>
      </c>
      <c r="H203" s="88">
        <f>H201*D203</f>
        <v>8.8000000000000007</v>
      </c>
      <c r="I203" s="88">
        <f>I201*D203</f>
        <v>8.8000000000000007</v>
      </c>
      <c r="J203" s="88">
        <f>J201*D203</f>
        <v>8.92</v>
      </c>
      <c r="K203" s="88">
        <f>K201*D203</f>
        <v>8.8000000000000007</v>
      </c>
      <c r="L203" s="88">
        <f>L201*D203</f>
        <v>8.92</v>
      </c>
      <c r="M203" s="88">
        <f>M201*D203</f>
        <v>8.8000000000000007</v>
      </c>
      <c r="N203" s="29"/>
      <c r="O203" s="29"/>
      <c r="P203" s="49" t="str">
        <f>VLOOKUP(B203,'Форма КП'!$B$27:$G$49,5,FALSE)</f>
        <v>Материал заказчика</v>
      </c>
      <c r="Q203" s="50"/>
      <c r="R203" s="49" t="str">
        <f t="shared" si="109"/>
        <v>Материал заказчика</v>
      </c>
      <c r="S203" s="50"/>
    </row>
    <row r="204" spans="1:19" ht="108" x14ac:dyDescent="0.25">
      <c r="A204" s="127" t="s">
        <v>323</v>
      </c>
      <c r="B204" s="128" t="s">
        <v>505</v>
      </c>
      <c r="C204" s="129" t="s">
        <v>779</v>
      </c>
      <c r="D204" s="130"/>
      <c r="E204" s="127" t="s">
        <v>224</v>
      </c>
      <c r="F204" s="131">
        <f t="shared" si="96"/>
        <v>45.92</v>
      </c>
      <c r="G204" s="113">
        <f t="shared" ref="G204:M204" si="110">2.43*2.7</f>
        <v>6.56</v>
      </c>
      <c r="H204" s="113">
        <f t="shared" si="110"/>
        <v>6.56</v>
      </c>
      <c r="I204" s="113">
        <f t="shared" si="110"/>
        <v>6.56</v>
      </c>
      <c r="J204" s="113">
        <f t="shared" si="110"/>
        <v>6.56</v>
      </c>
      <c r="K204" s="113">
        <f t="shared" si="110"/>
        <v>6.56</v>
      </c>
      <c r="L204" s="113">
        <f t="shared" si="110"/>
        <v>6.56</v>
      </c>
      <c r="M204" s="113">
        <f t="shared" si="110"/>
        <v>6.56</v>
      </c>
      <c r="N204" s="104">
        <f>VLOOKUP(B204,'Форма КП'!$B$17:$G$25,5,FALSE)</f>
        <v>0</v>
      </c>
      <c r="O204" s="104">
        <f>N204*F204</f>
        <v>0</v>
      </c>
      <c r="P204" s="104"/>
      <c r="Q204" s="104"/>
      <c r="R204" s="104">
        <f>N204</f>
        <v>0</v>
      </c>
      <c r="S204" s="104">
        <f>N204*F204</f>
        <v>0</v>
      </c>
    </row>
    <row r="205" spans="1:19" x14ac:dyDescent="0.25">
      <c r="A205" s="132" t="s">
        <v>324</v>
      </c>
      <c r="B205" s="128" t="s">
        <v>484</v>
      </c>
      <c r="C205" s="133" t="s">
        <v>225</v>
      </c>
      <c r="D205" s="90">
        <v>0.15</v>
      </c>
      <c r="E205" s="132" t="s">
        <v>226</v>
      </c>
      <c r="F205" s="134">
        <f t="shared" si="96"/>
        <v>6.86</v>
      </c>
      <c r="G205" s="88">
        <f>G204*D205</f>
        <v>0.98</v>
      </c>
      <c r="H205" s="88">
        <f>H204*D205</f>
        <v>0.98</v>
      </c>
      <c r="I205" s="88">
        <f>I204*D205</f>
        <v>0.98</v>
      </c>
      <c r="J205" s="88">
        <f>J204*D205</f>
        <v>0.98</v>
      </c>
      <c r="K205" s="88">
        <f>K204*D205</f>
        <v>0.98</v>
      </c>
      <c r="L205" s="88">
        <f>L204*D205</f>
        <v>0.98</v>
      </c>
      <c r="M205" s="88">
        <f>M204*D205</f>
        <v>0.98</v>
      </c>
      <c r="N205" s="29"/>
      <c r="O205" s="29"/>
      <c r="P205" s="49" t="str">
        <f>VLOOKUP(B205,'Форма КП'!$B$27:$G$49,5,FALSE)</f>
        <v>Материал заказчика</v>
      </c>
      <c r="Q205" s="50"/>
      <c r="R205" s="49" t="str">
        <f t="shared" ref="R205:R206" si="111">P205</f>
        <v>Материал заказчика</v>
      </c>
      <c r="S205" s="50"/>
    </row>
    <row r="206" spans="1:19" ht="24" x14ac:dyDescent="0.25">
      <c r="A206" s="132" t="s">
        <v>325</v>
      </c>
      <c r="B206" s="128" t="s">
        <v>508</v>
      </c>
      <c r="C206" s="133" t="s">
        <v>509</v>
      </c>
      <c r="D206" s="90">
        <v>0.25</v>
      </c>
      <c r="E206" s="132" t="s">
        <v>226</v>
      </c>
      <c r="F206" s="134">
        <f t="shared" si="96"/>
        <v>11.48</v>
      </c>
      <c r="G206" s="88">
        <f>G204*D206</f>
        <v>1.64</v>
      </c>
      <c r="H206" s="88">
        <f>H204*D206</f>
        <v>1.64</v>
      </c>
      <c r="I206" s="88">
        <f>I204*D206</f>
        <v>1.64</v>
      </c>
      <c r="J206" s="88">
        <f>J204*D206</f>
        <v>1.64</v>
      </c>
      <c r="K206" s="88">
        <f>K204*D206</f>
        <v>1.64</v>
      </c>
      <c r="L206" s="88">
        <f>L204*D206</f>
        <v>1.64</v>
      </c>
      <c r="M206" s="88">
        <f>M204*D206</f>
        <v>1.64</v>
      </c>
      <c r="N206" s="29"/>
      <c r="O206" s="29"/>
      <c r="P206" s="49" t="str">
        <f>VLOOKUP(B206,'Форма КП'!$B$27:$G$49,5,FALSE)</f>
        <v>Материал заказчика</v>
      </c>
      <c r="Q206" s="50"/>
      <c r="R206" s="49" t="str">
        <f t="shared" si="111"/>
        <v>Материал заказчика</v>
      </c>
      <c r="S206" s="50"/>
    </row>
    <row r="207" spans="1:19" x14ac:dyDescent="0.25">
      <c r="A207" s="126" t="s">
        <v>232</v>
      </c>
      <c r="B207" s="120"/>
      <c r="C207" s="121"/>
      <c r="D207" s="122"/>
      <c r="E207" s="123"/>
      <c r="F207" s="124"/>
      <c r="G207" s="125"/>
      <c r="H207" s="125"/>
      <c r="I207" s="125"/>
      <c r="J207" s="125"/>
      <c r="K207" s="125"/>
      <c r="L207" s="125"/>
      <c r="M207" s="125"/>
      <c r="N207" s="33"/>
      <c r="O207" s="33"/>
      <c r="P207" s="33"/>
      <c r="Q207" s="33"/>
      <c r="R207" s="33"/>
      <c r="S207" s="31"/>
    </row>
    <row r="208" spans="1:19" ht="216" x14ac:dyDescent="0.25">
      <c r="A208" s="127" t="s">
        <v>326</v>
      </c>
      <c r="B208" s="128" t="s">
        <v>510</v>
      </c>
      <c r="C208" s="129" t="s">
        <v>776</v>
      </c>
      <c r="D208" s="130"/>
      <c r="E208" s="127" t="s">
        <v>224</v>
      </c>
      <c r="F208" s="131">
        <f t="shared" ref="F208:F222" si="112">SUM(G208:M208)</f>
        <v>2475.61</v>
      </c>
      <c r="G208" s="113">
        <f>117.7*2.78+7.6*0.68+14.6*1.2+11.8*0.5+3.6*0.48</f>
        <v>357.52</v>
      </c>
      <c r="H208" s="113">
        <f>116.62*2.78+3*0.68+9.8*0.5+11.8*1.2+7.4*0.48</f>
        <v>348.86</v>
      </c>
      <c r="I208" s="113">
        <f>116.62*2.78+3*0.68+9.8*0.5+11.8*1.2+7.4*0.48</f>
        <v>348.86</v>
      </c>
      <c r="J208" s="113">
        <f>135.76*2.78+9.6*0.5+16.5*1.2+9.6*0.68+3.6*0.48</f>
        <v>410.27</v>
      </c>
      <c r="K208" s="116">
        <f>131.42*2.7-3*2.1-17.17*1.7-9.87*2.3+9.2*0.4</f>
        <v>300.32</v>
      </c>
      <c r="L208" s="116">
        <f>165.09*2.7-10.6*2.1-16.57*1.7-9.87*2.3+3.6*0.4</f>
        <v>374.05</v>
      </c>
      <c r="M208" s="116">
        <f>144.8*2.7-3*2.1-17.17*1.7-9.87*2.3+7.4*0.4</f>
        <v>335.73</v>
      </c>
      <c r="N208" s="104">
        <f>VLOOKUP(B208,'Форма КП'!$B$17:$G$25,5,FALSE)</f>
        <v>0</v>
      </c>
      <c r="O208" s="104">
        <f>N208*F208</f>
        <v>0</v>
      </c>
      <c r="P208" s="104"/>
      <c r="Q208" s="104"/>
      <c r="R208" s="104">
        <f>N208</f>
        <v>0</v>
      </c>
      <c r="S208" s="104">
        <f>N208*F208</f>
        <v>0</v>
      </c>
    </row>
    <row r="209" spans="1:19" x14ac:dyDescent="0.25">
      <c r="A209" s="132" t="s">
        <v>327</v>
      </c>
      <c r="B209" s="128" t="s">
        <v>486</v>
      </c>
      <c r="C209" s="133" t="s">
        <v>487</v>
      </c>
      <c r="D209" s="90">
        <v>1.45</v>
      </c>
      <c r="E209" s="132" t="s">
        <v>6</v>
      </c>
      <c r="F209" s="134">
        <f t="shared" si="112"/>
        <v>3589.63</v>
      </c>
      <c r="G209" s="88">
        <f>G208*D209</f>
        <v>518.4</v>
      </c>
      <c r="H209" s="88">
        <f>H208*D209</f>
        <v>505.85</v>
      </c>
      <c r="I209" s="88">
        <f>I208*D209</f>
        <v>505.85</v>
      </c>
      <c r="J209" s="88">
        <f>J208*D209</f>
        <v>594.89</v>
      </c>
      <c r="K209" s="106">
        <f>K208*D209</f>
        <v>435.46</v>
      </c>
      <c r="L209" s="106">
        <f>L208*D209</f>
        <v>542.37</v>
      </c>
      <c r="M209" s="106">
        <f>M208*D209</f>
        <v>486.81</v>
      </c>
      <c r="N209" s="29"/>
      <c r="O209" s="29"/>
      <c r="P209" s="86">
        <f>VLOOKUP(B209,'Форма КП'!$B$27:$G$49,5,FALSE)</f>
        <v>0</v>
      </c>
      <c r="Q209" s="86">
        <f t="shared" ref="Q209" si="113">P209*F209</f>
        <v>0</v>
      </c>
      <c r="R209" s="32">
        <f t="shared" ref="R209:R211" si="114">P209</f>
        <v>0</v>
      </c>
      <c r="S209" s="32">
        <f t="shared" ref="S209" si="115">P209*F209</f>
        <v>0</v>
      </c>
    </row>
    <row r="210" spans="1:19" x14ac:dyDescent="0.25">
      <c r="A210" s="132" t="s">
        <v>328</v>
      </c>
      <c r="B210" s="128" t="s">
        <v>488</v>
      </c>
      <c r="C210" s="133" t="s">
        <v>489</v>
      </c>
      <c r="D210" s="90">
        <v>0.2</v>
      </c>
      <c r="E210" s="132" t="s">
        <v>228</v>
      </c>
      <c r="F210" s="134">
        <f t="shared" si="112"/>
        <v>495.11</v>
      </c>
      <c r="G210" s="88">
        <f>G208*D210</f>
        <v>71.5</v>
      </c>
      <c r="H210" s="88">
        <f>H208*D210</f>
        <v>69.77</v>
      </c>
      <c r="I210" s="88">
        <f>I208*D210</f>
        <v>69.77</v>
      </c>
      <c r="J210" s="88">
        <f>J208*D210</f>
        <v>82.05</v>
      </c>
      <c r="K210" s="106">
        <f>(131.42*2.7-3*2.1-17.17*1.7-9.87*2.3+9.2*0.4)*D210</f>
        <v>60.06</v>
      </c>
      <c r="L210" s="106">
        <f>(165.09*2.7-10.6*2.1-16.57*1.7-9.87*2.3+3.6*0.4)*D210</f>
        <v>74.81</v>
      </c>
      <c r="M210" s="106">
        <f>(144.8*2.7-3*2.1-17.17*1.7-9.87*2.3+7.4*0.4)*D210</f>
        <v>67.150000000000006</v>
      </c>
      <c r="N210" s="29"/>
      <c r="O210" s="29"/>
      <c r="P210" s="49" t="str">
        <f>VLOOKUP(B210,'Форма КП'!$B$27:$G$49,5,FALSE)</f>
        <v>Материал заказчика</v>
      </c>
      <c r="Q210" s="50"/>
      <c r="R210" s="49" t="str">
        <f t="shared" si="114"/>
        <v>Материал заказчика</v>
      </c>
      <c r="S210" s="50"/>
    </row>
    <row r="211" spans="1:19" x14ac:dyDescent="0.25">
      <c r="A211" s="132" t="s">
        <v>329</v>
      </c>
      <c r="B211" s="128" t="s">
        <v>511</v>
      </c>
      <c r="C211" s="133" t="s">
        <v>512</v>
      </c>
      <c r="D211" s="90">
        <v>16</v>
      </c>
      <c r="E211" s="132" t="s">
        <v>228</v>
      </c>
      <c r="F211" s="134">
        <f t="shared" si="112"/>
        <v>39609.760000000002</v>
      </c>
      <c r="G211" s="88">
        <f>G208*D211</f>
        <v>5720.32</v>
      </c>
      <c r="H211" s="88">
        <f>H208*D211</f>
        <v>5581.76</v>
      </c>
      <c r="I211" s="88">
        <f>I208*D211</f>
        <v>5581.76</v>
      </c>
      <c r="J211" s="88">
        <f>J208*D211</f>
        <v>6564.32</v>
      </c>
      <c r="K211" s="106">
        <f>K208*D211</f>
        <v>4805.12</v>
      </c>
      <c r="L211" s="106">
        <f>L208*D211</f>
        <v>5984.8</v>
      </c>
      <c r="M211" s="106">
        <f>M208*D211</f>
        <v>5371.68</v>
      </c>
      <c r="N211" s="29"/>
      <c r="O211" s="29"/>
      <c r="P211" s="49" t="str">
        <f>VLOOKUP(B211,'Форма КП'!$B$27:$G$49,5,FALSE)</f>
        <v>Материал заказчика</v>
      </c>
      <c r="Q211" s="50"/>
      <c r="R211" s="49" t="str">
        <f t="shared" si="114"/>
        <v>Материал заказчика</v>
      </c>
      <c r="S211" s="50"/>
    </row>
    <row r="212" spans="1:19" ht="216" x14ac:dyDescent="0.25">
      <c r="A212" s="127" t="s">
        <v>330</v>
      </c>
      <c r="B212" s="128" t="s">
        <v>510</v>
      </c>
      <c r="C212" s="129" t="s">
        <v>776</v>
      </c>
      <c r="D212" s="130"/>
      <c r="E212" s="127" t="s">
        <v>224</v>
      </c>
      <c r="F212" s="131">
        <f t="shared" si="112"/>
        <v>2310.37</v>
      </c>
      <c r="G212" s="113">
        <f>130*2.78+21.6*0.68</f>
        <v>376.09</v>
      </c>
      <c r="H212" s="113">
        <f>111.56*2.78+17.8*0.68</f>
        <v>322.24</v>
      </c>
      <c r="I212" s="113">
        <f>111.56*2.78+17.8*0.68</f>
        <v>322.24</v>
      </c>
      <c r="J212" s="113">
        <f>121*2.78+25.2*0.68</f>
        <v>353.52</v>
      </c>
      <c r="K212" s="116">
        <f>118.52*2.7-16*2.1</f>
        <v>286.39999999999998</v>
      </c>
      <c r="L212" s="116">
        <f>148.27*2.7-25.4*2.1</f>
        <v>346.99</v>
      </c>
      <c r="M212" s="116">
        <f>125.87*2.7-17.6*2.1</f>
        <v>302.89</v>
      </c>
      <c r="N212" s="104">
        <f>VLOOKUP(B212,'Форма КП'!$B$17:$G$25,5,FALSE)</f>
        <v>0</v>
      </c>
      <c r="O212" s="104">
        <f>N212*F212</f>
        <v>0</v>
      </c>
      <c r="P212" s="104"/>
      <c r="Q212" s="104"/>
      <c r="R212" s="104">
        <f>N212</f>
        <v>0</v>
      </c>
      <c r="S212" s="104">
        <f>N212*F212</f>
        <v>0</v>
      </c>
    </row>
    <row r="213" spans="1:19" x14ac:dyDescent="0.25">
      <c r="A213" s="132" t="s">
        <v>331</v>
      </c>
      <c r="B213" s="128" t="s">
        <v>486</v>
      </c>
      <c r="C213" s="133" t="s">
        <v>487</v>
      </c>
      <c r="D213" s="90">
        <v>1.45</v>
      </c>
      <c r="E213" s="132" t="s">
        <v>6</v>
      </c>
      <c r="F213" s="134">
        <f t="shared" si="112"/>
        <v>3350.04</v>
      </c>
      <c r="G213" s="88">
        <f>G212*D213</f>
        <v>545.33000000000004</v>
      </c>
      <c r="H213" s="88">
        <f>H212*D213</f>
        <v>467.25</v>
      </c>
      <c r="I213" s="88">
        <f>I212*D213</f>
        <v>467.25</v>
      </c>
      <c r="J213" s="88">
        <f>J212*D213</f>
        <v>512.6</v>
      </c>
      <c r="K213" s="106">
        <f>K212*D213</f>
        <v>415.28</v>
      </c>
      <c r="L213" s="106">
        <f>L212*D213</f>
        <v>503.14</v>
      </c>
      <c r="M213" s="106">
        <f>M212*D213</f>
        <v>439.19</v>
      </c>
      <c r="N213" s="29"/>
      <c r="O213" s="29"/>
      <c r="P213" s="86">
        <f>VLOOKUP(B213,'Форма КП'!$B$27:$G$49,5,FALSE)</f>
        <v>0</v>
      </c>
      <c r="Q213" s="86">
        <f t="shared" ref="Q213" si="116">P213*F213</f>
        <v>0</v>
      </c>
      <c r="R213" s="32">
        <f t="shared" ref="R213:R215" si="117">P213</f>
        <v>0</v>
      </c>
      <c r="S213" s="32">
        <f t="shared" ref="S213" si="118">P213*F213</f>
        <v>0</v>
      </c>
    </row>
    <row r="214" spans="1:19" x14ac:dyDescent="0.25">
      <c r="A214" s="132" t="s">
        <v>332</v>
      </c>
      <c r="B214" s="128" t="s">
        <v>484</v>
      </c>
      <c r="C214" s="133" t="s">
        <v>225</v>
      </c>
      <c r="D214" s="90">
        <v>0.4</v>
      </c>
      <c r="E214" s="132" t="s">
        <v>226</v>
      </c>
      <c r="F214" s="134">
        <f t="shared" si="112"/>
        <v>924.17</v>
      </c>
      <c r="G214" s="88">
        <f>G212*D214</f>
        <v>150.44</v>
      </c>
      <c r="H214" s="88">
        <f>H212*D214</f>
        <v>128.9</v>
      </c>
      <c r="I214" s="88">
        <f>I212*D214</f>
        <v>128.9</v>
      </c>
      <c r="J214" s="88">
        <f>J212*D214</f>
        <v>141.41</v>
      </c>
      <c r="K214" s="106">
        <f>(118.52*2.7-16*2.1)*D214</f>
        <v>114.56</v>
      </c>
      <c r="L214" s="106">
        <f>(148.27*2.7-25.4*2.1)*D214</f>
        <v>138.80000000000001</v>
      </c>
      <c r="M214" s="106">
        <f>(125.87*2.7-17.6*2.1)*D214</f>
        <v>121.16</v>
      </c>
      <c r="N214" s="29"/>
      <c r="O214" s="29"/>
      <c r="P214" s="49" t="str">
        <f>VLOOKUP(B214,'Форма КП'!$B$27:$G$49,5,FALSE)</f>
        <v>Материал заказчика</v>
      </c>
      <c r="Q214" s="50"/>
      <c r="R214" s="49" t="str">
        <f t="shared" si="117"/>
        <v>Материал заказчика</v>
      </c>
      <c r="S214" s="50"/>
    </row>
    <row r="215" spans="1:19" x14ac:dyDescent="0.25">
      <c r="A215" s="132" t="s">
        <v>333</v>
      </c>
      <c r="B215" s="128" t="s">
        <v>511</v>
      </c>
      <c r="C215" s="133" t="s">
        <v>512</v>
      </c>
      <c r="D215" s="90">
        <v>16</v>
      </c>
      <c r="E215" s="132" t="s">
        <v>228</v>
      </c>
      <c r="F215" s="134">
        <f t="shared" si="112"/>
        <v>36965.919999999998</v>
      </c>
      <c r="G215" s="88">
        <f>G212*D215</f>
        <v>6017.44</v>
      </c>
      <c r="H215" s="88">
        <f>H212*D215</f>
        <v>5155.84</v>
      </c>
      <c r="I215" s="88">
        <f>I212*D215</f>
        <v>5155.84</v>
      </c>
      <c r="J215" s="88">
        <f>J212*D215</f>
        <v>5656.32</v>
      </c>
      <c r="K215" s="106">
        <f>K212*D215</f>
        <v>4582.3999999999996</v>
      </c>
      <c r="L215" s="106">
        <f>L212*D215</f>
        <v>5551.84</v>
      </c>
      <c r="M215" s="106">
        <f>M212*D215</f>
        <v>4846.24</v>
      </c>
      <c r="N215" s="29"/>
      <c r="O215" s="29"/>
      <c r="P215" s="49" t="str">
        <f>VLOOKUP(B215,'Форма КП'!$B$27:$G$49,5,FALSE)</f>
        <v>Материал заказчика</v>
      </c>
      <c r="Q215" s="50"/>
      <c r="R215" s="49" t="str">
        <f t="shared" si="117"/>
        <v>Материал заказчика</v>
      </c>
      <c r="S215" s="50"/>
    </row>
    <row r="216" spans="1:19" ht="132" x14ac:dyDescent="0.25">
      <c r="A216" s="127" t="s">
        <v>334</v>
      </c>
      <c r="B216" s="128" t="s">
        <v>481</v>
      </c>
      <c r="C216" s="129" t="s">
        <v>778</v>
      </c>
      <c r="D216" s="130"/>
      <c r="E216" s="127" t="s">
        <v>224</v>
      </c>
      <c r="F216" s="131">
        <f t="shared" si="112"/>
        <v>2093.27</v>
      </c>
      <c r="G216" s="116">
        <f>G212+G208</f>
        <v>733.61</v>
      </c>
      <c r="H216" s="116"/>
      <c r="I216" s="116"/>
      <c r="J216" s="116"/>
      <c r="K216" s="116"/>
      <c r="L216" s="116">
        <f>L208+L212</f>
        <v>721.04</v>
      </c>
      <c r="M216" s="116">
        <f>M208+M212</f>
        <v>638.62</v>
      </c>
      <c r="N216" s="104">
        <f>VLOOKUP(B216,'Форма КП'!$B$17:$G$25,5,FALSE)</f>
        <v>0</v>
      </c>
      <c r="O216" s="104">
        <f>N216*F216</f>
        <v>0</v>
      </c>
      <c r="P216" s="104"/>
      <c r="Q216" s="104"/>
      <c r="R216" s="104">
        <f>N216</f>
        <v>0</v>
      </c>
      <c r="S216" s="104">
        <f>N216*F216</f>
        <v>0</v>
      </c>
    </row>
    <row r="217" spans="1:19" x14ac:dyDescent="0.25">
      <c r="A217" s="132" t="s">
        <v>335</v>
      </c>
      <c r="B217" s="128" t="s">
        <v>482</v>
      </c>
      <c r="C217" s="133" t="s">
        <v>483</v>
      </c>
      <c r="D217" s="136">
        <v>2.4</v>
      </c>
      <c r="E217" s="132" t="s">
        <v>228</v>
      </c>
      <c r="F217" s="134">
        <f t="shared" si="112"/>
        <v>5023.8500000000004</v>
      </c>
      <c r="G217" s="88">
        <f>G216*D217</f>
        <v>1760.66</v>
      </c>
      <c r="H217" s="88">
        <f>H216*D217</f>
        <v>0</v>
      </c>
      <c r="I217" s="88">
        <f>I216*D217</f>
        <v>0</v>
      </c>
      <c r="J217" s="88">
        <f>J216*D217</f>
        <v>0</v>
      </c>
      <c r="K217" s="106">
        <f>K216*D217</f>
        <v>0</v>
      </c>
      <c r="L217" s="106">
        <f>L216*D217</f>
        <v>1730.5</v>
      </c>
      <c r="M217" s="106">
        <f>M216*D217</f>
        <v>1532.69</v>
      </c>
      <c r="N217" s="29"/>
      <c r="O217" s="29"/>
      <c r="P217" s="49" t="str">
        <f>VLOOKUP(B217,'Форма КП'!$B$27:$G$49,5,FALSE)</f>
        <v>Материал заказчика</v>
      </c>
      <c r="Q217" s="50"/>
      <c r="R217" s="49" t="str">
        <f t="shared" ref="R217:R218" si="119">P217</f>
        <v>Материал заказчика</v>
      </c>
      <c r="S217" s="50"/>
    </row>
    <row r="218" spans="1:19" x14ac:dyDescent="0.25">
      <c r="A218" s="132" t="s">
        <v>336</v>
      </c>
      <c r="B218" s="128" t="s">
        <v>484</v>
      </c>
      <c r="C218" s="133" t="s">
        <v>225</v>
      </c>
      <c r="D218" s="136">
        <v>0.15</v>
      </c>
      <c r="E218" s="132" t="s">
        <v>226</v>
      </c>
      <c r="F218" s="134">
        <f t="shared" si="112"/>
        <v>313.99</v>
      </c>
      <c r="G218" s="88">
        <f>G216*D218</f>
        <v>110.04</v>
      </c>
      <c r="H218" s="88">
        <f>H216*D218</f>
        <v>0</v>
      </c>
      <c r="I218" s="88">
        <f>I216*D218</f>
        <v>0</v>
      </c>
      <c r="J218" s="88">
        <f>J216*D218</f>
        <v>0</v>
      </c>
      <c r="K218" s="106">
        <f>K216*D218</f>
        <v>0</v>
      </c>
      <c r="L218" s="106">
        <f>L216*D218</f>
        <v>108.16</v>
      </c>
      <c r="M218" s="106">
        <f>M216*D218</f>
        <v>95.79</v>
      </c>
      <c r="N218" s="29"/>
      <c r="O218" s="29"/>
      <c r="P218" s="49" t="str">
        <f>VLOOKUP(B218,'Форма КП'!$B$27:$G$49,5,FALSE)</f>
        <v>Материал заказчика</v>
      </c>
      <c r="Q218" s="50"/>
      <c r="R218" s="49" t="str">
        <f t="shared" si="119"/>
        <v>Материал заказчика</v>
      </c>
      <c r="S218" s="50"/>
    </row>
    <row r="219" spans="1:19" ht="264" x14ac:dyDescent="0.25">
      <c r="A219" s="127" t="s">
        <v>337</v>
      </c>
      <c r="B219" s="128" t="s">
        <v>474</v>
      </c>
      <c r="C219" s="129" t="s">
        <v>782</v>
      </c>
      <c r="D219" s="130"/>
      <c r="E219" s="127" t="s">
        <v>224</v>
      </c>
      <c r="F219" s="131">
        <f t="shared" si="112"/>
        <v>111.86</v>
      </c>
      <c r="G219" s="115">
        <f>6.66*2.75+1.02*2.81</f>
        <v>21.18</v>
      </c>
      <c r="H219" s="115">
        <f>3.48*2.75</f>
        <v>9.57</v>
      </c>
      <c r="I219" s="115">
        <f>3.48*2.75</f>
        <v>9.57</v>
      </c>
      <c r="J219" s="115">
        <f>8.69*2.75</f>
        <v>23.9</v>
      </c>
      <c r="K219" s="115">
        <f>3.48*2.75</f>
        <v>9.57</v>
      </c>
      <c r="L219" s="115">
        <f>6.39*2.75+1.05*2.81</f>
        <v>20.52</v>
      </c>
      <c r="M219" s="115">
        <f>3.95*2.75+2.38*2.81</f>
        <v>17.55</v>
      </c>
      <c r="N219" s="104">
        <f>VLOOKUP(B219,'Форма КП'!$B$17:$G$25,5,FALSE)</f>
        <v>0</v>
      </c>
      <c r="O219" s="104">
        <f>N219*F219</f>
        <v>0</v>
      </c>
      <c r="P219" s="104"/>
      <c r="Q219" s="104"/>
      <c r="R219" s="104">
        <f>N219</f>
        <v>0</v>
      </c>
      <c r="S219" s="104">
        <f>N219*F219</f>
        <v>0</v>
      </c>
    </row>
    <row r="220" spans="1:19" x14ac:dyDescent="0.25">
      <c r="A220" s="132" t="s">
        <v>338</v>
      </c>
      <c r="B220" s="128" t="s">
        <v>524</v>
      </c>
      <c r="C220" s="133" t="s">
        <v>525</v>
      </c>
      <c r="D220" s="90">
        <v>2.25</v>
      </c>
      <c r="E220" s="132" t="s">
        <v>224</v>
      </c>
      <c r="F220" s="134">
        <f t="shared" si="112"/>
        <v>251.69</v>
      </c>
      <c r="G220" s="88">
        <f>G219*D220</f>
        <v>47.66</v>
      </c>
      <c r="H220" s="88">
        <f>H219*D220</f>
        <v>21.53</v>
      </c>
      <c r="I220" s="88">
        <f>I219*D220</f>
        <v>21.53</v>
      </c>
      <c r="J220" s="88">
        <f>J219*D220</f>
        <v>53.78</v>
      </c>
      <c r="K220" s="106">
        <f>K219*D220</f>
        <v>21.53</v>
      </c>
      <c r="L220" s="106">
        <f>L219*D220</f>
        <v>46.17</v>
      </c>
      <c r="M220" s="106">
        <f>M219*D220</f>
        <v>39.49</v>
      </c>
      <c r="N220" s="29"/>
      <c r="O220" s="29"/>
      <c r="P220" s="86">
        <f>VLOOKUP(B220,'Форма КП'!$B$27:$G$49,5,FALSE)</f>
        <v>0</v>
      </c>
      <c r="Q220" s="86">
        <f t="shared" ref="Q220:Q222" si="120">P220*F220</f>
        <v>0</v>
      </c>
      <c r="R220" s="32">
        <f t="shared" ref="R220:R222" si="121">P220</f>
        <v>0</v>
      </c>
      <c r="S220" s="32">
        <f t="shared" ref="S220:S222" si="122">P220*F220</f>
        <v>0</v>
      </c>
    </row>
    <row r="221" spans="1:19" x14ac:dyDescent="0.25">
      <c r="A221" s="132" t="s">
        <v>339</v>
      </c>
      <c r="B221" s="128" t="s">
        <v>477</v>
      </c>
      <c r="C221" s="133" t="s">
        <v>478</v>
      </c>
      <c r="D221" s="90">
        <v>0.86</v>
      </c>
      <c r="E221" s="132" t="s">
        <v>6</v>
      </c>
      <c r="F221" s="134">
        <f t="shared" si="112"/>
        <v>96.19</v>
      </c>
      <c r="G221" s="88">
        <f>G219*D221</f>
        <v>18.21</v>
      </c>
      <c r="H221" s="88">
        <f>H219*D221</f>
        <v>8.23</v>
      </c>
      <c r="I221" s="88">
        <f>I219*D221</f>
        <v>8.23</v>
      </c>
      <c r="J221" s="88">
        <f>J219*D221</f>
        <v>20.55</v>
      </c>
      <c r="K221" s="106">
        <f>K219*D221</f>
        <v>8.23</v>
      </c>
      <c r="L221" s="106">
        <f>L219*D221</f>
        <v>17.649999999999999</v>
      </c>
      <c r="M221" s="106">
        <f>M219*D221</f>
        <v>15.09</v>
      </c>
      <c r="N221" s="29"/>
      <c r="O221" s="29"/>
      <c r="P221" s="86">
        <f>VLOOKUP(B221,'Форма КП'!$B$27:$G$49,5,FALSE)</f>
        <v>0</v>
      </c>
      <c r="Q221" s="86">
        <f t="shared" si="120"/>
        <v>0</v>
      </c>
      <c r="R221" s="32">
        <f t="shared" si="121"/>
        <v>0</v>
      </c>
      <c r="S221" s="32">
        <f t="shared" si="122"/>
        <v>0</v>
      </c>
    </row>
    <row r="222" spans="1:19" x14ac:dyDescent="0.25">
      <c r="A222" s="132" t="s">
        <v>340</v>
      </c>
      <c r="B222" s="128" t="s">
        <v>479</v>
      </c>
      <c r="C222" s="133" t="s">
        <v>480</v>
      </c>
      <c r="D222" s="90">
        <v>2.34</v>
      </c>
      <c r="E222" s="132" t="s">
        <v>6</v>
      </c>
      <c r="F222" s="134">
        <f t="shared" si="112"/>
        <v>261.75</v>
      </c>
      <c r="G222" s="88">
        <f>G219*D222</f>
        <v>49.56</v>
      </c>
      <c r="H222" s="88">
        <f>H219*D222</f>
        <v>22.39</v>
      </c>
      <c r="I222" s="88">
        <f>I219*D222</f>
        <v>22.39</v>
      </c>
      <c r="J222" s="88">
        <f>J219*D222</f>
        <v>55.93</v>
      </c>
      <c r="K222" s="106">
        <f>K219*D222</f>
        <v>22.39</v>
      </c>
      <c r="L222" s="106">
        <f>L219*D222</f>
        <v>48.02</v>
      </c>
      <c r="M222" s="106">
        <f>M219*D222</f>
        <v>41.07</v>
      </c>
      <c r="N222" s="29"/>
      <c r="O222" s="29"/>
      <c r="P222" s="86">
        <f>VLOOKUP(B222,'Форма КП'!$B$27:$G$49,5,FALSE)</f>
        <v>0</v>
      </c>
      <c r="Q222" s="86">
        <f t="shared" si="120"/>
        <v>0</v>
      </c>
      <c r="R222" s="32">
        <f t="shared" si="121"/>
        <v>0</v>
      </c>
      <c r="S222" s="32">
        <f t="shared" si="122"/>
        <v>0</v>
      </c>
    </row>
    <row r="223" spans="1:19" x14ac:dyDescent="0.25">
      <c r="A223" s="119" t="s">
        <v>243</v>
      </c>
      <c r="B223" s="120"/>
      <c r="C223" s="121"/>
      <c r="D223" s="122"/>
      <c r="E223" s="123"/>
      <c r="F223" s="124"/>
      <c r="G223" s="125"/>
      <c r="H223" s="125"/>
      <c r="I223" s="125"/>
      <c r="J223" s="125"/>
      <c r="K223" s="125"/>
      <c r="L223" s="125"/>
      <c r="M223" s="125"/>
      <c r="N223" s="33"/>
      <c r="O223" s="33"/>
      <c r="P223" s="33"/>
      <c r="Q223" s="33"/>
      <c r="R223" s="33"/>
      <c r="S223" s="31"/>
    </row>
    <row r="224" spans="1:19" x14ac:dyDescent="0.25">
      <c r="A224" s="126" t="s">
        <v>223</v>
      </c>
      <c r="B224" s="120"/>
      <c r="C224" s="121"/>
      <c r="D224" s="122"/>
      <c r="E224" s="123"/>
      <c r="F224" s="124"/>
      <c r="G224" s="125"/>
      <c r="H224" s="125"/>
      <c r="I224" s="125"/>
      <c r="J224" s="125"/>
      <c r="K224" s="125"/>
      <c r="L224" s="125"/>
      <c r="M224" s="125"/>
      <c r="N224" s="33"/>
      <c r="O224" s="33"/>
      <c r="P224" s="33"/>
      <c r="Q224" s="33"/>
      <c r="R224" s="33"/>
      <c r="S224" s="31"/>
    </row>
    <row r="225" spans="1:19" ht="264" x14ac:dyDescent="0.25">
      <c r="A225" s="127" t="s">
        <v>341</v>
      </c>
      <c r="B225" s="128" t="s">
        <v>474</v>
      </c>
      <c r="C225" s="129" t="s">
        <v>782</v>
      </c>
      <c r="D225" s="130"/>
      <c r="E225" s="127" t="s">
        <v>224</v>
      </c>
      <c r="F225" s="131">
        <f t="shared" ref="F225:F250" si="123">SUM(G225:M225)</f>
        <v>187.58</v>
      </c>
      <c r="G225" s="113">
        <f>6.46*2.81-2.4*2.3+4.94*2.81</f>
        <v>26.51</v>
      </c>
      <c r="H225" s="113">
        <f>6.46*2.81-2.4*2.3+5.1*2.81</f>
        <v>26.96</v>
      </c>
      <c r="I225" s="113">
        <f>6.46*2.81-2.4*2.3+5.1*2.81</f>
        <v>26.96</v>
      </c>
      <c r="J225" s="113">
        <f>6.46*2.81-2.4*2.3+5.02*2.81</f>
        <v>26.74</v>
      </c>
      <c r="K225" s="113">
        <f>6.46*2.81-2.4*2.3+5.1*2.81</f>
        <v>26.96</v>
      </c>
      <c r="L225" s="113">
        <f>6.46*2.81-2.4*2.3+4.93*2.81</f>
        <v>26.49</v>
      </c>
      <c r="M225" s="113">
        <f>6.46*2.81-2.4*2.3+5.1*2.81</f>
        <v>26.96</v>
      </c>
      <c r="N225" s="104">
        <f>VLOOKUP(B225,'Форма КП'!$B$17:$G$25,5,FALSE)</f>
        <v>0</v>
      </c>
      <c r="O225" s="104">
        <f>N225*F225</f>
        <v>0</v>
      </c>
      <c r="P225" s="104"/>
      <c r="Q225" s="104"/>
      <c r="R225" s="104">
        <f>N225</f>
        <v>0</v>
      </c>
      <c r="S225" s="104">
        <f>N225*F225</f>
        <v>0</v>
      </c>
    </row>
    <row r="226" spans="1:19" x14ac:dyDescent="0.25">
      <c r="A226" s="132" t="s">
        <v>342</v>
      </c>
      <c r="B226" s="128" t="s">
        <v>475</v>
      </c>
      <c r="C226" s="133" t="s">
        <v>476</v>
      </c>
      <c r="D226" s="90">
        <v>2.25</v>
      </c>
      <c r="E226" s="132" t="s">
        <v>224</v>
      </c>
      <c r="F226" s="134">
        <f t="shared" si="123"/>
        <v>422.06</v>
      </c>
      <c r="G226" s="88">
        <f>G225*D226</f>
        <v>59.65</v>
      </c>
      <c r="H226" s="88">
        <f>H225*D226</f>
        <v>60.66</v>
      </c>
      <c r="I226" s="88">
        <f>I225*D226</f>
        <v>60.66</v>
      </c>
      <c r="J226" s="88">
        <f>J225*D226</f>
        <v>60.17</v>
      </c>
      <c r="K226" s="88">
        <f>K225*D226</f>
        <v>60.66</v>
      </c>
      <c r="L226" s="88">
        <f>L225*D226</f>
        <v>59.6</v>
      </c>
      <c r="M226" s="88">
        <f>M225*D226</f>
        <v>60.66</v>
      </c>
      <c r="N226" s="29"/>
      <c r="O226" s="29"/>
      <c r="P226" s="86">
        <f>VLOOKUP(B226,'Форма КП'!$B$27:$G$49,5,FALSE)</f>
        <v>0</v>
      </c>
      <c r="Q226" s="86">
        <f t="shared" ref="Q226:Q228" si="124">P226*F226</f>
        <v>0</v>
      </c>
      <c r="R226" s="32">
        <f t="shared" ref="R226:R228" si="125">P226</f>
        <v>0</v>
      </c>
      <c r="S226" s="32">
        <f t="shared" ref="S226:S228" si="126">P226*F226</f>
        <v>0</v>
      </c>
    </row>
    <row r="227" spans="1:19" x14ac:dyDescent="0.25">
      <c r="A227" s="132" t="s">
        <v>344</v>
      </c>
      <c r="B227" s="128" t="s">
        <v>477</v>
      </c>
      <c r="C227" s="133" t="s">
        <v>478</v>
      </c>
      <c r="D227" s="90">
        <v>0.86</v>
      </c>
      <c r="E227" s="132" t="s">
        <v>6</v>
      </c>
      <c r="F227" s="134">
        <f t="shared" si="123"/>
        <v>161.34</v>
      </c>
      <c r="G227" s="88">
        <f>G225*D227</f>
        <v>22.8</v>
      </c>
      <c r="H227" s="88">
        <f>H225*D227</f>
        <v>23.19</v>
      </c>
      <c r="I227" s="88">
        <f>I225*D227</f>
        <v>23.19</v>
      </c>
      <c r="J227" s="88">
        <f>J225*D227</f>
        <v>23</v>
      </c>
      <c r="K227" s="88">
        <f>K225*D227</f>
        <v>23.19</v>
      </c>
      <c r="L227" s="88">
        <f>L225*D227</f>
        <v>22.78</v>
      </c>
      <c r="M227" s="88">
        <f>M225*D227</f>
        <v>23.19</v>
      </c>
      <c r="N227" s="29"/>
      <c r="O227" s="29"/>
      <c r="P227" s="86">
        <f>VLOOKUP(B227,'Форма КП'!$B$27:$G$49,5,FALSE)</f>
        <v>0</v>
      </c>
      <c r="Q227" s="86">
        <f t="shared" si="124"/>
        <v>0</v>
      </c>
      <c r="R227" s="32">
        <f t="shared" si="125"/>
        <v>0</v>
      </c>
      <c r="S227" s="32">
        <f t="shared" si="126"/>
        <v>0</v>
      </c>
    </row>
    <row r="228" spans="1:19" x14ac:dyDescent="0.25">
      <c r="A228" s="132" t="s">
        <v>345</v>
      </c>
      <c r="B228" s="128" t="s">
        <v>479</v>
      </c>
      <c r="C228" s="133" t="s">
        <v>480</v>
      </c>
      <c r="D228" s="90">
        <v>2.34</v>
      </c>
      <c r="E228" s="132" t="s">
        <v>6</v>
      </c>
      <c r="F228" s="134">
        <f t="shared" si="123"/>
        <v>438.95</v>
      </c>
      <c r="G228" s="88">
        <f>G225*D228</f>
        <v>62.03</v>
      </c>
      <c r="H228" s="88">
        <f>H225*D228</f>
        <v>63.09</v>
      </c>
      <c r="I228" s="88">
        <f>I225*D228</f>
        <v>63.09</v>
      </c>
      <c r="J228" s="88">
        <f>J225*D228</f>
        <v>62.57</v>
      </c>
      <c r="K228" s="88">
        <f>K225*D228</f>
        <v>63.09</v>
      </c>
      <c r="L228" s="88">
        <f>L225*D228</f>
        <v>61.99</v>
      </c>
      <c r="M228" s="88">
        <f>M225*D228</f>
        <v>63.09</v>
      </c>
      <c r="N228" s="29"/>
      <c r="O228" s="29"/>
      <c r="P228" s="86">
        <f>VLOOKUP(B228,'Форма КП'!$B$27:$G$49,5,FALSE)</f>
        <v>0</v>
      </c>
      <c r="Q228" s="86">
        <f t="shared" si="124"/>
        <v>0</v>
      </c>
      <c r="R228" s="32">
        <f t="shared" si="125"/>
        <v>0</v>
      </c>
      <c r="S228" s="32">
        <f t="shared" si="126"/>
        <v>0</v>
      </c>
    </row>
    <row r="229" spans="1:19" ht="216" x14ac:dyDescent="0.25">
      <c r="A229" s="127" t="s">
        <v>346</v>
      </c>
      <c r="B229" s="128" t="s">
        <v>510</v>
      </c>
      <c r="C229" s="129" t="s">
        <v>776</v>
      </c>
      <c r="D229" s="130"/>
      <c r="E229" s="127" t="s">
        <v>224</v>
      </c>
      <c r="F229" s="131">
        <f t="shared" si="123"/>
        <v>767.22</v>
      </c>
      <c r="G229" s="113">
        <f>(64.23-2)*2.7-12.99*2.1-1.37*1.7</f>
        <v>138.41</v>
      </c>
      <c r="H229" s="113">
        <f>(45.78-2)*2.7-8.2*2.1-3.05*1.7</f>
        <v>95.8</v>
      </c>
      <c r="I229" s="113">
        <f>(45.78-2)*2.7-8.2*2.1-3.05*1.7</f>
        <v>95.8</v>
      </c>
      <c r="J229" s="113">
        <f>(58-2)*2.7-11.99*2.1-1.37*1.7</f>
        <v>123.69</v>
      </c>
      <c r="K229" s="113">
        <f>(45.79-2)*2.7-8.2*2.1-3.05*1.7</f>
        <v>95.83</v>
      </c>
      <c r="L229" s="113">
        <f>(55.94-2)*2.7-10.2*2.1-1.37*1.7</f>
        <v>121.89</v>
      </c>
      <c r="M229" s="113">
        <f>(45.78-2)*2.7-3.05*1.7-8.2*2.1</f>
        <v>95.8</v>
      </c>
      <c r="N229" s="104">
        <f>VLOOKUP(B229,'Форма КП'!$B$17:$G$25,5,FALSE)</f>
        <v>0</v>
      </c>
      <c r="O229" s="104">
        <f>N229*F229</f>
        <v>0</v>
      </c>
      <c r="P229" s="104"/>
      <c r="Q229" s="104"/>
      <c r="R229" s="104">
        <f>N229</f>
        <v>0</v>
      </c>
      <c r="S229" s="104">
        <f>N229*F229</f>
        <v>0</v>
      </c>
    </row>
    <row r="230" spans="1:19" x14ac:dyDescent="0.25">
      <c r="A230" s="132" t="s">
        <v>347</v>
      </c>
      <c r="B230" s="128" t="s">
        <v>486</v>
      </c>
      <c r="C230" s="133" t="s">
        <v>487</v>
      </c>
      <c r="D230" s="90">
        <v>1.45</v>
      </c>
      <c r="E230" s="132" t="s">
        <v>6</v>
      </c>
      <c r="F230" s="134">
        <f t="shared" si="123"/>
        <v>1112.46</v>
      </c>
      <c r="G230" s="88">
        <f>G229*D230</f>
        <v>200.69</v>
      </c>
      <c r="H230" s="88">
        <f>H229*D230</f>
        <v>138.91</v>
      </c>
      <c r="I230" s="88">
        <f>I229*D230</f>
        <v>138.91</v>
      </c>
      <c r="J230" s="88">
        <f>J229*D230</f>
        <v>179.35</v>
      </c>
      <c r="K230" s="88">
        <f>K229*D230</f>
        <v>138.94999999999999</v>
      </c>
      <c r="L230" s="88">
        <f>L229*D230</f>
        <v>176.74</v>
      </c>
      <c r="M230" s="88">
        <f>M229*D230</f>
        <v>138.91</v>
      </c>
      <c r="N230" s="29"/>
      <c r="O230" s="29"/>
      <c r="P230" s="86">
        <f>VLOOKUP(B230,'Форма КП'!$B$27:$G$49,5,FALSE)</f>
        <v>0</v>
      </c>
      <c r="Q230" s="86">
        <f t="shared" ref="Q230" si="127">P230*F230</f>
        <v>0</v>
      </c>
      <c r="R230" s="32">
        <f t="shared" ref="R230:R232" si="128">P230</f>
        <v>0</v>
      </c>
      <c r="S230" s="32">
        <f t="shared" ref="S230" si="129">P230*F230</f>
        <v>0</v>
      </c>
    </row>
    <row r="231" spans="1:19" x14ac:dyDescent="0.25">
      <c r="A231" s="132" t="s">
        <v>348</v>
      </c>
      <c r="B231" s="128" t="s">
        <v>488</v>
      </c>
      <c r="C231" s="133" t="s">
        <v>489</v>
      </c>
      <c r="D231" s="90">
        <v>0.2</v>
      </c>
      <c r="E231" s="132" t="s">
        <v>228</v>
      </c>
      <c r="F231" s="134">
        <f t="shared" si="123"/>
        <v>155.61000000000001</v>
      </c>
      <c r="G231" s="88">
        <f>((64.23-2)*2.7-12.99*2.1-1.37*1.7)*D231</f>
        <v>27.68</v>
      </c>
      <c r="H231" s="88">
        <f>(45.78*2.7-8.2*2.1-3.05*1.7)*D231</f>
        <v>20.239999999999998</v>
      </c>
      <c r="I231" s="88">
        <f>(45.78*2.7-8.2*2.1-3.05*1.7)*D231</f>
        <v>20.239999999999998</v>
      </c>
      <c r="J231" s="88">
        <f>((58-2)*2.7-11.99*2.1-1.37*1.7)*D231</f>
        <v>24.74</v>
      </c>
      <c r="K231" s="88">
        <f>((45.79-2)*2.7-8.2*2.1-3.05*1.7)*D231</f>
        <v>19.170000000000002</v>
      </c>
      <c r="L231" s="88">
        <f>((55.94-2)*2.7-10.2*2.1-1.37*1.7)*D231</f>
        <v>24.38</v>
      </c>
      <c r="M231" s="88">
        <f>((45.78-2)*2.7-3.05*1.7-8.2*2.1)*D231</f>
        <v>19.16</v>
      </c>
      <c r="N231" s="29"/>
      <c r="O231" s="29"/>
      <c r="P231" s="49" t="str">
        <f>VLOOKUP(B231,'Форма КП'!$B$27:$G$49,5,FALSE)</f>
        <v>Материал заказчика</v>
      </c>
      <c r="Q231" s="50"/>
      <c r="R231" s="49" t="str">
        <f t="shared" si="128"/>
        <v>Материал заказчика</v>
      </c>
      <c r="S231" s="50"/>
    </row>
    <row r="232" spans="1:19" x14ac:dyDescent="0.25">
      <c r="A232" s="132" t="s">
        <v>349</v>
      </c>
      <c r="B232" s="128" t="s">
        <v>511</v>
      </c>
      <c r="C232" s="133" t="s">
        <v>512</v>
      </c>
      <c r="D232" s="90">
        <v>16</v>
      </c>
      <c r="E232" s="132" t="s">
        <v>228</v>
      </c>
      <c r="F232" s="134">
        <f t="shared" si="123"/>
        <v>12275.52</v>
      </c>
      <c r="G232" s="88">
        <f>G229*D232</f>
        <v>2214.56</v>
      </c>
      <c r="H232" s="88">
        <f>H229*D232</f>
        <v>1532.8</v>
      </c>
      <c r="I232" s="88">
        <f>I229*D232</f>
        <v>1532.8</v>
      </c>
      <c r="J232" s="88">
        <f>J229*D232</f>
        <v>1979.04</v>
      </c>
      <c r="K232" s="88">
        <f>K229*D232</f>
        <v>1533.28</v>
      </c>
      <c r="L232" s="88">
        <f>L229*D232</f>
        <v>1950.24</v>
      </c>
      <c r="M232" s="88">
        <f>M229*D232</f>
        <v>1532.8</v>
      </c>
      <c r="N232" s="29"/>
      <c r="O232" s="29"/>
      <c r="P232" s="49" t="str">
        <f>VLOOKUP(B232,'Форма КП'!$B$27:$G$49,5,FALSE)</f>
        <v>Материал заказчика</v>
      </c>
      <c r="Q232" s="50"/>
      <c r="R232" s="49" t="str">
        <f t="shared" si="128"/>
        <v>Материал заказчика</v>
      </c>
      <c r="S232" s="50"/>
    </row>
    <row r="233" spans="1:19" ht="216" x14ac:dyDescent="0.25">
      <c r="A233" s="127" t="s">
        <v>350</v>
      </c>
      <c r="B233" s="128" t="s">
        <v>510</v>
      </c>
      <c r="C233" s="129" t="s">
        <v>776</v>
      </c>
      <c r="D233" s="130"/>
      <c r="E233" s="127" t="s">
        <v>224</v>
      </c>
      <c r="F233" s="131">
        <f t="shared" si="123"/>
        <v>183.61</v>
      </c>
      <c r="G233" s="113">
        <f>12.7*2.7-2*2.1</f>
        <v>30.09</v>
      </c>
      <c r="H233" s="113">
        <f>10.8*2.7-2*2.1</f>
        <v>24.96</v>
      </c>
      <c r="I233" s="113">
        <f>10.8*2.7-2*2.1</f>
        <v>24.96</v>
      </c>
      <c r="J233" s="113">
        <f>13.21*2.7-2*2.1</f>
        <v>31.47</v>
      </c>
      <c r="K233" s="113">
        <f>10.8*2.7-2*2.1</f>
        <v>24.96</v>
      </c>
      <c r="L233" s="113">
        <f>9.78*2.7-2*2.1</f>
        <v>22.21</v>
      </c>
      <c r="M233" s="113">
        <f>10.8*2.7-2*2.1</f>
        <v>24.96</v>
      </c>
      <c r="N233" s="104">
        <f>VLOOKUP(B233,'Форма КП'!$B$17:$G$25,5,FALSE)</f>
        <v>0</v>
      </c>
      <c r="O233" s="104">
        <f>N233*F233</f>
        <v>0</v>
      </c>
      <c r="P233" s="104"/>
      <c r="Q233" s="104"/>
      <c r="R233" s="104">
        <f>N233</f>
        <v>0</v>
      </c>
      <c r="S233" s="104">
        <f>N233*F233</f>
        <v>0</v>
      </c>
    </row>
    <row r="234" spans="1:19" x14ac:dyDescent="0.25">
      <c r="A234" s="132" t="s">
        <v>351</v>
      </c>
      <c r="B234" s="128" t="s">
        <v>486</v>
      </c>
      <c r="C234" s="133" t="s">
        <v>487</v>
      </c>
      <c r="D234" s="90">
        <v>1.45</v>
      </c>
      <c r="E234" s="132" t="s">
        <v>6</v>
      </c>
      <c r="F234" s="134">
        <f t="shared" si="123"/>
        <v>266.22000000000003</v>
      </c>
      <c r="G234" s="88">
        <f>G233*D234</f>
        <v>43.63</v>
      </c>
      <c r="H234" s="88">
        <f>H233*D234</f>
        <v>36.19</v>
      </c>
      <c r="I234" s="88">
        <f>I233*D234</f>
        <v>36.19</v>
      </c>
      <c r="J234" s="88">
        <f>J233*D234</f>
        <v>45.63</v>
      </c>
      <c r="K234" s="88">
        <f>K233*D234</f>
        <v>36.19</v>
      </c>
      <c r="L234" s="88">
        <f>L233*D234</f>
        <v>32.200000000000003</v>
      </c>
      <c r="M234" s="88">
        <f>M233*D234</f>
        <v>36.19</v>
      </c>
      <c r="N234" s="29"/>
      <c r="O234" s="29"/>
      <c r="P234" s="86">
        <f>VLOOKUP(B234,'Форма КП'!$B$27:$G$49,5,FALSE)</f>
        <v>0</v>
      </c>
      <c r="Q234" s="86">
        <f t="shared" ref="Q234" si="130">P234*F234</f>
        <v>0</v>
      </c>
      <c r="R234" s="32">
        <f t="shared" ref="R234:R236" si="131">P234</f>
        <v>0</v>
      </c>
      <c r="S234" s="32">
        <f t="shared" ref="S234" si="132">P234*F234</f>
        <v>0</v>
      </c>
    </row>
    <row r="235" spans="1:19" x14ac:dyDescent="0.25">
      <c r="A235" s="132" t="s">
        <v>352</v>
      </c>
      <c r="B235" s="128" t="s">
        <v>484</v>
      </c>
      <c r="C235" s="133" t="s">
        <v>225</v>
      </c>
      <c r="D235" s="90">
        <v>0.4</v>
      </c>
      <c r="E235" s="132" t="s">
        <v>226</v>
      </c>
      <c r="F235" s="134">
        <f t="shared" si="123"/>
        <v>73.430000000000007</v>
      </c>
      <c r="G235" s="88">
        <f>(12.7*2.7-2*2.1)*D235</f>
        <v>12.04</v>
      </c>
      <c r="H235" s="88">
        <f>(10.8*2.7-2*2.1)*D235</f>
        <v>9.98</v>
      </c>
      <c r="I235" s="88">
        <f>(10.8*2.7-2*2.1)*D235</f>
        <v>9.98</v>
      </c>
      <c r="J235" s="88">
        <f>(13.21*2.7-2*2.1)*D235</f>
        <v>12.59</v>
      </c>
      <c r="K235" s="88">
        <f>(10.8*2.7-2*2.1)*D235</f>
        <v>9.98</v>
      </c>
      <c r="L235" s="88">
        <f>(9.78*2.7-2*2.1)*D235</f>
        <v>8.8800000000000008</v>
      </c>
      <c r="M235" s="88">
        <f>(10.8*2.7-2*2.1)*D235</f>
        <v>9.98</v>
      </c>
      <c r="N235" s="29"/>
      <c r="O235" s="29"/>
      <c r="P235" s="49" t="str">
        <f>VLOOKUP(B235,'Форма КП'!$B$27:$G$49,5,FALSE)</f>
        <v>Материал заказчика</v>
      </c>
      <c r="Q235" s="50"/>
      <c r="R235" s="49" t="str">
        <f t="shared" si="131"/>
        <v>Материал заказчика</v>
      </c>
      <c r="S235" s="50"/>
    </row>
    <row r="236" spans="1:19" x14ac:dyDescent="0.25">
      <c r="A236" s="132" t="s">
        <v>353</v>
      </c>
      <c r="B236" s="128" t="s">
        <v>511</v>
      </c>
      <c r="C236" s="133" t="s">
        <v>512</v>
      </c>
      <c r="D236" s="90">
        <v>16</v>
      </c>
      <c r="E236" s="132" t="s">
        <v>228</v>
      </c>
      <c r="F236" s="134">
        <f t="shared" si="123"/>
        <v>2937.76</v>
      </c>
      <c r="G236" s="88">
        <f>G233*D236</f>
        <v>481.44</v>
      </c>
      <c r="H236" s="88">
        <f>H233*D236</f>
        <v>399.36</v>
      </c>
      <c r="I236" s="88">
        <f>I233*D236</f>
        <v>399.36</v>
      </c>
      <c r="J236" s="88">
        <f>J233*D236</f>
        <v>503.52</v>
      </c>
      <c r="K236" s="88">
        <f>K233*D236</f>
        <v>399.36</v>
      </c>
      <c r="L236" s="88">
        <f>L233*D236</f>
        <v>355.36</v>
      </c>
      <c r="M236" s="88">
        <f>M233*D236</f>
        <v>399.36</v>
      </c>
      <c r="N236" s="29"/>
      <c r="O236" s="29"/>
      <c r="P236" s="49" t="str">
        <f>VLOOKUP(B236,'Форма КП'!$B$27:$G$49,5,FALSE)</f>
        <v>Материал заказчика</v>
      </c>
      <c r="Q236" s="50"/>
      <c r="R236" s="49" t="str">
        <f t="shared" si="131"/>
        <v>Материал заказчика</v>
      </c>
      <c r="S236" s="50"/>
    </row>
    <row r="237" spans="1:19" ht="120" x14ac:dyDescent="0.25">
      <c r="A237" s="127" t="s">
        <v>354</v>
      </c>
      <c r="B237" s="128" t="s">
        <v>513</v>
      </c>
      <c r="C237" s="129" t="s">
        <v>777</v>
      </c>
      <c r="D237" s="130"/>
      <c r="E237" s="127" t="s">
        <v>224</v>
      </c>
      <c r="F237" s="131">
        <f t="shared" si="123"/>
        <v>669.66</v>
      </c>
      <c r="G237" s="115">
        <f>(59.41-2)*2.7-13.69*2.1</f>
        <v>126.26</v>
      </c>
      <c r="H237" s="115">
        <f>(39.06-2)*2.7-8.9*2.1-1.37*1.7</f>
        <v>79.040000000000006</v>
      </c>
      <c r="I237" s="115">
        <f>(39.06-2)*2.7-8.9*2.1-1.37*1.7</f>
        <v>79.040000000000006</v>
      </c>
      <c r="J237" s="115">
        <f>52.31*2.7-12.69*2.1</f>
        <v>114.59</v>
      </c>
      <c r="K237" s="115">
        <f>39.06*2.7-8.9*2.1-1.37*1.7</f>
        <v>84.44</v>
      </c>
      <c r="L237" s="115">
        <f>48.2*2.7-10.9*2.1</f>
        <v>107.25</v>
      </c>
      <c r="M237" s="115">
        <f>(39.06-2)*2.7-8.9*2.1-1.37*1.7</f>
        <v>79.040000000000006</v>
      </c>
      <c r="N237" s="104">
        <f>VLOOKUP(B237,'Форма КП'!$B$17:$G$25,5,FALSE)</f>
        <v>0</v>
      </c>
      <c r="O237" s="104">
        <f>N237*F237</f>
        <v>0</v>
      </c>
      <c r="P237" s="104"/>
      <c r="Q237" s="104"/>
      <c r="R237" s="104">
        <f>N237</f>
        <v>0</v>
      </c>
      <c r="S237" s="104">
        <f>N237*F237</f>
        <v>0</v>
      </c>
    </row>
    <row r="238" spans="1:19" x14ac:dyDescent="0.25">
      <c r="A238" s="132" t="s">
        <v>355</v>
      </c>
      <c r="B238" s="128" t="s">
        <v>484</v>
      </c>
      <c r="C238" s="133" t="s">
        <v>225</v>
      </c>
      <c r="D238" s="90">
        <v>0.15</v>
      </c>
      <c r="E238" s="132" t="s">
        <v>226</v>
      </c>
      <c r="F238" s="134">
        <f t="shared" si="123"/>
        <v>100.47</v>
      </c>
      <c r="G238" s="88">
        <f>G237*D238</f>
        <v>18.940000000000001</v>
      </c>
      <c r="H238" s="88">
        <f>H237*D238</f>
        <v>11.86</v>
      </c>
      <c r="I238" s="88">
        <f>I237*D238</f>
        <v>11.86</v>
      </c>
      <c r="J238" s="88">
        <f>J237*D238</f>
        <v>17.190000000000001</v>
      </c>
      <c r="K238" s="88">
        <f>K237*D238</f>
        <v>12.67</v>
      </c>
      <c r="L238" s="88">
        <f>L237*D238</f>
        <v>16.09</v>
      </c>
      <c r="M238" s="88">
        <f>M237*D238</f>
        <v>11.86</v>
      </c>
      <c r="N238" s="29"/>
      <c r="O238" s="29"/>
      <c r="P238" s="49" t="str">
        <f>VLOOKUP(B238,'Форма КП'!$B$27:$G$49,5,FALSE)</f>
        <v>Материал заказчика</v>
      </c>
      <c r="Q238" s="50"/>
      <c r="R238" s="49" t="str">
        <f t="shared" ref="R238:R239" si="133">P238</f>
        <v>Материал заказчика</v>
      </c>
      <c r="S238" s="50"/>
    </row>
    <row r="239" spans="1:19" x14ac:dyDescent="0.25">
      <c r="A239" s="132" t="s">
        <v>356</v>
      </c>
      <c r="B239" s="128" t="s">
        <v>514</v>
      </c>
      <c r="C239" s="133" t="s">
        <v>515</v>
      </c>
      <c r="D239" s="90">
        <v>5</v>
      </c>
      <c r="E239" s="132" t="s">
        <v>228</v>
      </c>
      <c r="F239" s="134">
        <f t="shared" si="123"/>
        <v>3348.3</v>
      </c>
      <c r="G239" s="88">
        <f>G237*D239</f>
        <v>631.29999999999995</v>
      </c>
      <c r="H239" s="88">
        <f>H237*D239</f>
        <v>395.2</v>
      </c>
      <c r="I239" s="88">
        <f>I237*D239</f>
        <v>395.2</v>
      </c>
      <c r="J239" s="88">
        <f>J237*D239</f>
        <v>572.95000000000005</v>
      </c>
      <c r="K239" s="88">
        <f>K237*D239</f>
        <v>422.2</v>
      </c>
      <c r="L239" s="88">
        <f>L237*D239</f>
        <v>536.25</v>
      </c>
      <c r="M239" s="88">
        <f>M237*D239</f>
        <v>395.2</v>
      </c>
      <c r="N239" s="29"/>
      <c r="O239" s="29"/>
      <c r="P239" s="49" t="str">
        <f>VLOOKUP(B239,'Форма КП'!$B$27:$G$49,5,FALSE)</f>
        <v>Материал заказчика</v>
      </c>
      <c r="Q239" s="50"/>
      <c r="R239" s="49" t="str">
        <f t="shared" si="133"/>
        <v>Материал заказчика</v>
      </c>
      <c r="S239" s="50"/>
    </row>
    <row r="240" spans="1:19" ht="156" x14ac:dyDescent="0.25">
      <c r="A240" s="127" t="s">
        <v>357</v>
      </c>
      <c r="B240" s="128" t="s">
        <v>493</v>
      </c>
      <c r="C240" s="129" t="s">
        <v>780</v>
      </c>
      <c r="D240" s="130"/>
      <c r="E240" s="127" t="s">
        <v>224</v>
      </c>
      <c r="F240" s="131">
        <f t="shared" si="123"/>
        <v>14.4</v>
      </c>
      <c r="G240" s="112">
        <f>0.2*2*6</f>
        <v>2.4</v>
      </c>
      <c r="H240" s="112">
        <f t="shared" ref="H240:M240" si="134">0.2*2*5</f>
        <v>2</v>
      </c>
      <c r="I240" s="112">
        <f t="shared" si="134"/>
        <v>2</v>
      </c>
      <c r="J240" s="112">
        <f t="shared" si="134"/>
        <v>2</v>
      </c>
      <c r="K240" s="112">
        <f t="shared" si="134"/>
        <v>2</v>
      </c>
      <c r="L240" s="112">
        <f t="shared" si="134"/>
        <v>2</v>
      </c>
      <c r="M240" s="112">
        <f t="shared" si="134"/>
        <v>2</v>
      </c>
      <c r="N240" s="104">
        <f>VLOOKUP(B240,'Форма КП'!$B$17:$G$25,5,FALSE)</f>
        <v>0</v>
      </c>
      <c r="O240" s="104">
        <f>N240*F240</f>
        <v>0</v>
      </c>
      <c r="P240" s="104"/>
      <c r="Q240" s="104"/>
      <c r="R240" s="104">
        <f>N240</f>
        <v>0</v>
      </c>
      <c r="S240" s="104">
        <f>N240*F240</f>
        <v>0</v>
      </c>
    </row>
    <row r="241" spans="1:19" x14ac:dyDescent="0.25">
      <c r="A241" s="132" t="s">
        <v>358</v>
      </c>
      <c r="B241" s="128" t="s">
        <v>484</v>
      </c>
      <c r="C241" s="133" t="s">
        <v>225</v>
      </c>
      <c r="D241" s="90">
        <v>0.15</v>
      </c>
      <c r="E241" s="132" t="s">
        <v>226</v>
      </c>
      <c r="F241" s="134">
        <f t="shared" si="123"/>
        <v>2.16</v>
      </c>
      <c r="G241" s="88">
        <f>G240*D241</f>
        <v>0.36</v>
      </c>
      <c r="H241" s="88">
        <f>H240*D241</f>
        <v>0.3</v>
      </c>
      <c r="I241" s="88">
        <f>I240*D241</f>
        <v>0.3</v>
      </c>
      <c r="J241" s="88">
        <f>J240*D241</f>
        <v>0.3</v>
      </c>
      <c r="K241" s="88">
        <f>K240*D241</f>
        <v>0.3</v>
      </c>
      <c r="L241" s="88">
        <f>L240*D241</f>
        <v>0.3</v>
      </c>
      <c r="M241" s="88">
        <f>M240*D241</f>
        <v>0.3</v>
      </c>
      <c r="N241" s="29"/>
      <c r="O241" s="29"/>
      <c r="P241" s="49" t="str">
        <f>VLOOKUP(B241,'Форма КП'!$B$27:$G$49,5,FALSE)</f>
        <v>Материал заказчика</v>
      </c>
      <c r="Q241" s="50"/>
      <c r="R241" s="49" t="str">
        <f t="shared" ref="R241:R244" si="135">P241</f>
        <v>Материал заказчика</v>
      </c>
      <c r="S241" s="50"/>
    </row>
    <row r="242" spans="1:19" x14ac:dyDescent="0.25">
      <c r="A242" s="132" t="s">
        <v>359</v>
      </c>
      <c r="B242" s="128" t="s">
        <v>496</v>
      </c>
      <c r="C242" s="133" t="s">
        <v>227</v>
      </c>
      <c r="D242" s="90">
        <v>10</v>
      </c>
      <c r="E242" s="132" t="s">
        <v>228</v>
      </c>
      <c r="F242" s="134">
        <f t="shared" si="123"/>
        <v>144</v>
      </c>
      <c r="G242" s="88">
        <f>G240*D242</f>
        <v>24</v>
      </c>
      <c r="H242" s="88">
        <f>H240*D242</f>
        <v>20</v>
      </c>
      <c r="I242" s="88">
        <f>I240*D242</f>
        <v>20</v>
      </c>
      <c r="J242" s="88">
        <f>J240*D242</f>
        <v>20</v>
      </c>
      <c r="K242" s="88">
        <f>K240*D242</f>
        <v>20</v>
      </c>
      <c r="L242" s="88">
        <f>L240*D242</f>
        <v>20</v>
      </c>
      <c r="M242" s="88">
        <f>M240*D242</f>
        <v>20</v>
      </c>
      <c r="N242" s="29"/>
      <c r="O242" s="29"/>
      <c r="P242" s="49" t="str">
        <f>VLOOKUP(B242,'Форма КП'!$B$27:$G$49,5,FALSE)</f>
        <v>Материал заказчика</v>
      </c>
      <c r="Q242" s="50"/>
      <c r="R242" s="49" t="str">
        <f t="shared" si="135"/>
        <v>Материал заказчика</v>
      </c>
      <c r="S242" s="50"/>
    </row>
    <row r="243" spans="1:19" x14ac:dyDescent="0.25">
      <c r="A243" s="132" t="s">
        <v>360</v>
      </c>
      <c r="B243" s="128" t="s">
        <v>523</v>
      </c>
      <c r="C243" s="133" t="s">
        <v>229</v>
      </c>
      <c r="D243" s="90">
        <v>0.2</v>
      </c>
      <c r="E243" s="132" t="s">
        <v>228</v>
      </c>
      <c r="F243" s="134">
        <f t="shared" si="123"/>
        <v>2.88</v>
      </c>
      <c r="G243" s="88">
        <f>G240*D243</f>
        <v>0.48</v>
      </c>
      <c r="H243" s="88">
        <f>H240*D243</f>
        <v>0.4</v>
      </c>
      <c r="I243" s="88">
        <f>I240*D243</f>
        <v>0.4</v>
      </c>
      <c r="J243" s="88">
        <f>J240*D243</f>
        <v>0.4</v>
      </c>
      <c r="K243" s="88">
        <f>K240*D243</f>
        <v>0.4</v>
      </c>
      <c r="L243" s="88">
        <f>L240*D243</f>
        <v>0.4</v>
      </c>
      <c r="M243" s="88">
        <f>M240*D243</f>
        <v>0.4</v>
      </c>
      <c r="N243" s="29"/>
      <c r="O243" s="29"/>
      <c r="P243" s="49" t="str">
        <f>VLOOKUP(B243,'Форма КП'!$B$27:$G$49,5,FALSE)</f>
        <v>Материал заказчика</v>
      </c>
      <c r="Q243" s="50"/>
      <c r="R243" s="49" t="str">
        <f t="shared" si="135"/>
        <v>Материал заказчика</v>
      </c>
      <c r="S243" s="50"/>
    </row>
    <row r="244" spans="1:19" x14ac:dyDescent="0.25">
      <c r="A244" s="132" t="s">
        <v>361</v>
      </c>
      <c r="B244" s="128" t="s">
        <v>501</v>
      </c>
      <c r="C244" s="133" t="s">
        <v>502</v>
      </c>
      <c r="D244" s="90">
        <v>1.05</v>
      </c>
      <c r="E244" s="132" t="s">
        <v>224</v>
      </c>
      <c r="F244" s="134">
        <f t="shared" si="123"/>
        <v>15.12</v>
      </c>
      <c r="G244" s="88">
        <f>G240*D244</f>
        <v>2.52</v>
      </c>
      <c r="H244" s="88">
        <f>H240*D244</f>
        <v>2.1</v>
      </c>
      <c r="I244" s="88">
        <f>I240*D244</f>
        <v>2.1</v>
      </c>
      <c r="J244" s="88">
        <f>J240*D244</f>
        <v>2.1</v>
      </c>
      <c r="K244" s="88">
        <f>K240*D244</f>
        <v>2.1</v>
      </c>
      <c r="L244" s="88">
        <f>L240*D244</f>
        <v>2.1</v>
      </c>
      <c r="M244" s="88">
        <f>M240*D244</f>
        <v>2.1</v>
      </c>
      <c r="N244" s="29"/>
      <c r="O244" s="29"/>
      <c r="P244" s="49" t="str">
        <f>VLOOKUP(B244,'Форма КП'!$B$27:$G$49,5,FALSE)</f>
        <v>Материал заказчика</v>
      </c>
      <c r="Q244" s="50"/>
      <c r="R244" s="49" t="str">
        <f t="shared" si="135"/>
        <v>Материал заказчика</v>
      </c>
      <c r="S244" s="50"/>
    </row>
    <row r="245" spans="1:19" ht="108" x14ac:dyDescent="0.25">
      <c r="A245" s="127" t="s">
        <v>362</v>
      </c>
      <c r="B245" s="128" t="s">
        <v>505</v>
      </c>
      <c r="C245" s="129" t="s">
        <v>779</v>
      </c>
      <c r="D245" s="130"/>
      <c r="E245" s="127" t="s">
        <v>224</v>
      </c>
      <c r="F245" s="131">
        <f t="shared" si="123"/>
        <v>247.76</v>
      </c>
      <c r="G245" s="113">
        <v>35.69</v>
      </c>
      <c r="H245" s="113">
        <v>35.18</v>
      </c>
      <c r="I245" s="113">
        <v>35.18</v>
      </c>
      <c r="J245" s="113">
        <v>35.659999999999997</v>
      </c>
      <c r="K245" s="113">
        <v>35.18</v>
      </c>
      <c r="L245" s="113">
        <v>35.69</v>
      </c>
      <c r="M245" s="113">
        <v>35.18</v>
      </c>
      <c r="N245" s="104">
        <f>VLOOKUP(B245,'Форма КП'!$B$17:$G$25,5,FALSE)</f>
        <v>0</v>
      </c>
      <c r="O245" s="104">
        <f>N245*F245</f>
        <v>0</v>
      </c>
      <c r="P245" s="104"/>
      <c r="Q245" s="104"/>
      <c r="R245" s="104">
        <f>N245</f>
        <v>0</v>
      </c>
      <c r="S245" s="104">
        <f>N245*F245</f>
        <v>0</v>
      </c>
    </row>
    <row r="246" spans="1:19" x14ac:dyDescent="0.25">
      <c r="A246" s="132" t="s">
        <v>363</v>
      </c>
      <c r="B246" s="128" t="s">
        <v>484</v>
      </c>
      <c r="C246" s="133" t="s">
        <v>225</v>
      </c>
      <c r="D246" s="90">
        <v>0.15</v>
      </c>
      <c r="E246" s="132" t="s">
        <v>226</v>
      </c>
      <c r="F246" s="134">
        <f t="shared" si="123"/>
        <v>37.17</v>
      </c>
      <c r="G246" s="88">
        <f>G245*D246</f>
        <v>5.35</v>
      </c>
      <c r="H246" s="88">
        <f>H245*D246</f>
        <v>5.28</v>
      </c>
      <c r="I246" s="88">
        <f>I245*D246</f>
        <v>5.28</v>
      </c>
      <c r="J246" s="88">
        <f>J245*D246</f>
        <v>5.35</v>
      </c>
      <c r="K246" s="88">
        <f>K245*D246</f>
        <v>5.28</v>
      </c>
      <c r="L246" s="88">
        <f>L245*D246</f>
        <v>5.35</v>
      </c>
      <c r="M246" s="88">
        <f>M245*D246</f>
        <v>5.28</v>
      </c>
      <c r="N246" s="29"/>
      <c r="O246" s="29"/>
      <c r="P246" s="49" t="str">
        <f>VLOOKUP(B246,'Форма КП'!$B$27:$G$49,5,FALSE)</f>
        <v>Материал заказчика</v>
      </c>
      <c r="Q246" s="50"/>
      <c r="R246" s="49" t="str">
        <f t="shared" ref="R246:R247" si="136">P246</f>
        <v>Материал заказчика</v>
      </c>
      <c r="S246" s="50"/>
    </row>
    <row r="247" spans="1:19" ht="24" x14ac:dyDescent="0.25">
      <c r="A247" s="132" t="s">
        <v>364</v>
      </c>
      <c r="B247" s="128" t="s">
        <v>506</v>
      </c>
      <c r="C247" s="133" t="s">
        <v>507</v>
      </c>
      <c r="D247" s="90">
        <v>0.25</v>
      </c>
      <c r="E247" s="132" t="s">
        <v>226</v>
      </c>
      <c r="F247" s="134">
        <f t="shared" si="123"/>
        <v>61.96</v>
      </c>
      <c r="G247" s="88">
        <f>G245*D247</f>
        <v>8.92</v>
      </c>
      <c r="H247" s="88">
        <f>H245*D247</f>
        <v>8.8000000000000007</v>
      </c>
      <c r="I247" s="88">
        <f>I245*D247</f>
        <v>8.8000000000000007</v>
      </c>
      <c r="J247" s="88">
        <f>J245*D247</f>
        <v>8.92</v>
      </c>
      <c r="K247" s="88">
        <f>K245*D247</f>
        <v>8.8000000000000007</v>
      </c>
      <c r="L247" s="88">
        <f>L245*D247</f>
        <v>8.92</v>
      </c>
      <c r="M247" s="88">
        <f>M245*D247</f>
        <v>8.8000000000000007</v>
      </c>
      <c r="N247" s="29"/>
      <c r="O247" s="29"/>
      <c r="P247" s="49" t="str">
        <f>VLOOKUP(B247,'Форма КП'!$B$27:$G$49,5,FALSE)</f>
        <v>Материал заказчика</v>
      </c>
      <c r="Q247" s="50"/>
      <c r="R247" s="49" t="str">
        <f t="shared" si="136"/>
        <v>Материал заказчика</v>
      </c>
      <c r="S247" s="50"/>
    </row>
    <row r="248" spans="1:19" ht="108" x14ac:dyDescent="0.25">
      <c r="A248" s="127" t="s">
        <v>365</v>
      </c>
      <c r="B248" s="128" t="s">
        <v>505</v>
      </c>
      <c r="C248" s="129" t="s">
        <v>779</v>
      </c>
      <c r="D248" s="130"/>
      <c r="E248" s="127" t="s">
        <v>224</v>
      </c>
      <c r="F248" s="131">
        <f t="shared" si="123"/>
        <v>45.92</v>
      </c>
      <c r="G248" s="113">
        <f t="shared" ref="G248:M248" si="137">2.43*2.7</f>
        <v>6.56</v>
      </c>
      <c r="H248" s="113">
        <f t="shared" si="137"/>
        <v>6.56</v>
      </c>
      <c r="I248" s="113">
        <f t="shared" si="137"/>
        <v>6.56</v>
      </c>
      <c r="J248" s="113">
        <f t="shared" si="137"/>
        <v>6.56</v>
      </c>
      <c r="K248" s="113">
        <f t="shared" si="137"/>
        <v>6.56</v>
      </c>
      <c r="L248" s="113">
        <f t="shared" si="137"/>
        <v>6.56</v>
      </c>
      <c r="M248" s="113">
        <f t="shared" si="137"/>
        <v>6.56</v>
      </c>
      <c r="N248" s="104">
        <f>VLOOKUP(B248,'Форма КП'!$B$17:$G$25,5,FALSE)</f>
        <v>0</v>
      </c>
      <c r="O248" s="104">
        <f>N248*F248</f>
        <v>0</v>
      </c>
      <c r="P248" s="104"/>
      <c r="Q248" s="104"/>
      <c r="R248" s="104">
        <f>N248</f>
        <v>0</v>
      </c>
      <c r="S248" s="104">
        <f>N248*F248</f>
        <v>0</v>
      </c>
    </row>
    <row r="249" spans="1:19" x14ac:dyDescent="0.25">
      <c r="A249" s="132" t="s">
        <v>366</v>
      </c>
      <c r="B249" s="128" t="s">
        <v>484</v>
      </c>
      <c r="C249" s="133" t="s">
        <v>225</v>
      </c>
      <c r="D249" s="90">
        <v>0.15</v>
      </c>
      <c r="E249" s="132" t="s">
        <v>226</v>
      </c>
      <c r="F249" s="134">
        <f t="shared" si="123"/>
        <v>6.86</v>
      </c>
      <c r="G249" s="88">
        <f>G248*D249</f>
        <v>0.98</v>
      </c>
      <c r="H249" s="88">
        <f>H248*D249</f>
        <v>0.98</v>
      </c>
      <c r="I249" s="88">
        <f>I248*D249</f>
        <v>0.98</v>
      </c>
      <c r="J249" s="88">
        <f>J248*D249</f>
        <v>0.98</v>
      </c>
      <c r="K249" s="88">
        <f>K248*D249</f>
        <v>0.98</v>
      </c>
      <c r="L249" s="88">
        <f>L248*D249</f>
        <v>0.98</v>
      </c>
      <c r="M249" s="88">
        <f>M248*D249</f>
        <v>0.98</v>
      </c>
      <c r="N249" s="29"/>
      <c r="O249" s="29"/>
      <c r="P249" s="49" t="str">
        <f>VLOOKUP(B249,'Форма КП'!$B$27:$G$49,5,FALSE)</f>
        <v>Материал заказчика</v>
      </c>
      <c r="Q249" s="50"/>
      <c r="R249" s="49" t="str">
        <f t="shared" ref="R249:R250" si="138">P249</f>
        <v>Материал заказчика</v>
      </c>
      <c r="S249" s="50"/>
    </row>
    <row r="250" spans="1:19" ht="24" x14ac:dyDescent="0.25">
      <c r="A250" s="132" t="s">
        <v>367</v>
      </c>
      <c r="B250" s="128" t="s">
        <v>508</v>
      </c>
      <c r="C250" s="133" t="s">
        <v>509</v>
      </c>
      <c r="D250" s="90">
        <v>0.25</v>
      </c>
      <c r="E250" s="132" t="s">
        <v>226</v>
      </c>
      <c r="F250" s="134">
        <f t="shared" si="123"/>
        <v>11.48</v>
      </c>
      <c r="G250" s="88">
        <f>G248*D250</f>
        <v>1.64</v>
      </c>
      <c r="H250" s="88">
        <f>H248*D250</f>
        <v>1.64</v>
      </c>
      <c r="I250" s="88">
        <f>I248*D250</f>
        <v>1.64</v>
      </c>
      <c r="J250" s="88">
        <f>J248*D250</f>
        <v>1.64</v>
      </c>
      <c r="K250" s="88">
        <f>K248*D250</f>
        <v>1.64</v>
      </c>
      <c r="L250" s="88">
        <f>L248*D250</f>
        <v>1.64</v>
      </c>
      <c r="M250" s="88">
        <f>M248*D250</f>
        <v>1.64</v>
      </c>
      <c r="N250" s="29"/>
      <c r="O250" s="29"/>
      <c r="P250" s="49" t="str">
        <f>VLOOKUP(B250,'Форма КП'!$B$27:$G$49,5,FALSE)</f>
        <v>Материал заказчика</v>
      </c>
      <c r="Q250" s="50"/>
      <c r="R250" s="49" t="str">
        <f t="shared" si="138"/>
        <v>Материал заказчика</v>
      </c>
      <c r="S250" s="50"/>
    </row>
    <row r="251" spans="1:19" x14ac:dyDescent="0.25">
      <c r="A251" s="126" t="s">
        <v>232</v>
      </c>
      <c r="B251" s="120"/>
      <c r="C251" s="121"/>
      <c r="D251" s="122"/>
      <c r="E251" s="123"/>
      <c r="F251" s="124"/>
      <c r="G251" s="125"/>
      <c r="H251" s="125"/>
      <c r="I251" s="125"/>
      <c r="J251" s="125"/>
      <c r="K251" s="125"/>
      <c r="L251" s="125"/>
      <c r="M251" s="125"/>
      <c r="N251" s="33"/>
      <c r="O251" s="33"/>
      <c r="P251" s="33"/>
      <c r="Q251" s="33"/>
      <c r="R251" s="33"/>
      <c r="S251" s="31"/>
    </row>
    <row r="252" spans="1:19" ht="216" x14ac:dyDescent="0.25">
      <c r="A252" s="127" t="s">
        <v>369</v>
      </c>
      <c r="B252" s="128" t="s">
        <v>510</v>
      </c>
      <c r="C252" s="129" t="s">
        <v>776</v>
      </c>
      <c r="D252" s="130"/>
      <c r="E252" s="127" t="s">
        <v>224</v>
      </c>
      <c r="F252" s="131">
        <f t="shared" ref="F252:F266" si="139">SUM(G252:M252)</f>
        <v>2475.61</v>
      </c>
      <c r="G252" s="113">
        <f>117.7*2.78+7.6*0.68+14.6*1.2+11.8*0.5+3.6*0.48</f>
        <v>357.52</v>
      </c>
      <c r="H252" s="113">
        <f>116.62*2.78+3*0.68+9.8*0.5+11.8*1.2+7.4*0.48</f>
        <v>348.86</v>
      </c>
      <c r="I252" s="113">
        <f>116.62*2.78+3*0.68+9.8*0.5+11.8*1.2+7.4*0.48</f>
        <v>348.86</v>
      </c>
      <c r="J252" s="113">
        <f>135.76*2.78+9.6*0.5+16.5*1.2+9.6*0.68+3.6*0.48</f>
        <v>410.27</v>
      </c>
      <c r="K252" s="116">
        <f>131.42*2.7-3*2.1-17.17*1.7-9.87*2.3+9.2*0.4</f>
        <v>300.32</v>
      </c>
      <c r="L252" s="116">
        <f>165.09*2.7-10.6*2.1-16.57*1.7-9.87*2.3+3.6*0.4</f>
        <v>374.05</v>
      </c>
      <c r="M252" s="116">
        <f>144.8*2.7-3*2.1-17.17*1.7-9.87*2.3+7.4*0.4</f>
        <v>335.73</v>
      </c>
      <c r="N252" s="104">
        <f>VLOOKUP(B252,'Форма КП'!$B$17:$G$25,5,FALSE)</f>
        <v>0</v>
      </c>
      <c r="O252" s="104">
        <f>N252*F252</f>
        <v>0</v>
      </c>
      <c r="P252" s="104"/>
      <c r="Q252" s="104"/>
      <c r="R252" s="104">
        <f>N252</f>
        <v>0</v>
      </c>
      <c r="S252" s="104">
        <f>N252*F252</f>
        <v>0</v>
      </c>
    </row>
    <row r="253" spans="1:19" x14ac:dyDescent="0.25">
      <c r="A253" s="132" t="s">
        <v>370</v>
      </c>
      <c r="B253" s="128" t="s">
        <v>486</v>
      </c>
      <c r="C253" s="133" t="s">
        <v>487</v>
      </c>
      <c r="D253" s="90">
        <v>1.45</v>
      </c>
      <c r="E253" s="132" t="s">
        <v>6</v>
      </c>
      <c r="F253" s="134">
        <f t="shared" si="139"/>
        <v>3589.63</v>
      </c>
      <c r="G253" s="88">
        <f>G252*D253</f>
        <v>518.4</v>
      </c>
      <c r="H253" s="88">
        <f>H252*D253</f>
        <v>505.85</v>
      </c>
      <c r="I253" s="88">
        <f>I252*D253</f>
        <v>505.85</v>
      </c>
      <c r="J253" s="88">
        <f>J252*D253</f>
        <v>594.89</v>
      </c>
      <c r="K253" s="106">
        <f>K252*D253</f>
        <v>435.46</v>
      </c>
      <c r="L253" s="106">
        <f>L252*D253</f>
        <v>542.37</v>
      </c>
      <c r="M253" s="106">
        <f>M252*D253</f>
        <v>486.81</v>
      </c>
      <c r="N253" s="29"/>
      <c r="O253" s="29"/>
      <c r="P253" s="86">
        <f>VLOOKUP(B253,'Форма КП'!$B$27:$G$49,5,FALSE)</f>
        <v>0</v>
      </c>
      <c r="Q253" s="86">
        <f t="shared" ref="Q253" si="140">P253*F253</f>
        <v>0</v>
      </c>
      <c r="R253" s="32">
        <f t="shared" ref="R253:R255" si="141">P253</f>
        <v>0</v>
      </c>
      <c r="S253" s="32">
        <f t="shared" ref="S253" si="142">P253*F253</f>
        <v>0</v>
      </c>
    </row>
    <row r="254" spans="1:19" x14ac:dyDescent="0.25">
      <c r="A254" s="132" t="s">
        <v>371</v>
      </c>
      <c r="B254" s="128" t="s">
        <v>488</v>
      </c>
      <c r="C254" s="133" t="s">
        <v>489</v>
      </c>
      <c r="D254" s="90">
        <v>0.2</v>
      </c>
      <c r="E254" s="132" t="s">
        <v>228</v>
      </c>
      <c r="F254" s="134">
        <f t="shared" si="139"/>
        <v>495.11</v>
      </c>
      <c r="G254" s="88">
        <f>G252*D254</f>
        <v>71.5</v>
      </c>
      <c r="H254" s="88">
        <f>H252*D254</f>
        <v>69.77</v>
      </c>
      <c r="I254" s="88">
        <f>I252*D254</f>
        <v>69.77</v>
      </c>
      <c r="J254" s="88">
        <f>J252*D254</f>
        <v>82.05</v>
      </c>
      <c r="K254" s="106">
        <f>(131.42*2.7-3*2.1-17.17*1.7-9.87*2.3+9.2*0.4)*D254</f>
        <v>60.06</v>
      </c>
      <c r="L254" s="106">
        <f>(165.09*2.7-10.6*2.1-16.57*1.7-9.87*2.3+3.6*0.4)*D254</f>
        <v>74.81</v>
      </c>
      <c r="M254" s="106">
        <f>(144.8*2.7-3*2.1-17.17*1.7-9.87*2.3+7.4*0.4)*D254</f>
        <v>67.150000000000006</v>
      </c>
      <c r="N254" s="29"/>
      <c r="O254" s="29"/>
      <c r="P254" s="49" t="str">
        <f>VLOOKUP(B254,'Форма КП'!$B$27:$G$49,5,FALSE)</f>
        <v>Материал заказчика</v>
      </c>
      <c r="Q254" s="50"/>
      <c r="R254" s="49" t="str">
        <f t="shared" si="141"/>
        <v>Материал заказчика</v>
      </c>
      <c r="S254" s="50"/>
    </row>
    <row r="255" spans="1:19" x14ac:dyDescent="0.25">
      <c r="A255" s="132" t="s">
        <v>372</v>
      </c>
      <c r="B255" s="128" t="s">
        <v>511</v>
      </c>
      <c r="C255" s="133" t="s">
        <v>512</v>
      </c>
      <c r="D255" s="90">
        <v>16</v>
      </c>
      <c r="E255" s="132" t="s">
        <v>228</v>
      </c>
      <c r="F255" s="134">
        <f t="shared" si="139"/>
        <v>39609.760000000002</v>
      </c>
      <c r="G255" s="88">
        <f>G252*D255</f>
        <v>5720.32</v>
      </c>
      <c r="H255" s="88">
        <f>H252*D255</f>
        <v>5581.76</v>
      </c>
      <c r="I255" s="88">
        <f>I252*D255</f>
        <v>5581.76</v>
      </c>
      <c r="J255" s="88">
        <f>J252*D255</f>
        <v>6564.32</v>
      </c>
      <c r="K255" s="106">
        <f>K252*D255</f>
        <v>4805.12</v>
      </c>
      <c r="L255" s="106">
        <f>L252*D255</f>
        <v>5984.8</v>
      </c>
      <c r="M255" s="106">
        <f>M252*D255</f>
        <v>5371.68</v>
      </c>
      <c r="N255" s="29"/>
      <c r="O255" s="29"/>
      <c r="P255" s="49" t="str">
        <f>VLOOKUP(B255,'Форма КП'!$B$27:$G$49,5,FALSE)</f>
        <v>Материал заказчика</v>
      </c>
      <c r="Q255" s="50"/>
      <c r="R255" s="49" t="str">
        <f t="shared" si="141"/>
        <v>Материал заказчика</v>
      </c>
      <c r="S255" s="50"/>
    </row>
    <row r="256" spans="1:19" ht="216" x14ac:dyDescent="0.25">
      <c r="A256" s="127" t="s">
        <v>373</v>
      </c>
      <c r="B256" s="128" t="s">
        <v>510</v>
      </c>
      <c r="C256" s="129" t="s">
        <v>776</v>
      </c>
      <c r="D256" s="130"/>
      <c r="E256" s="127" t="s">
        <v>224</v>
      </c>
      <c r="F256" s="131">
        <f t="shared" si="139"/>
        <v>2310.37</v>
      </c>
      <c r="G256" s="113">
        <f>130*2.78+21.6*0.68</f>
        <v>376.09</v>
      </c>
      <c r="H256" s="113">
        <f>111.56*2.78+17.8*0.68</f>
        <v>322.24</v>
      </c>
      <c r="I256" s="113">
        <f>111.56*2.78+17.8*0.68</f>
        <v>322.24</v>
      </c>
      <c r="J256" s="113">
        <f>121*2.78+25.2*0.68</f>
        <v>353.52</v>
      </c>
      <c r="K256" s="116">
        <f>118.52*2.7-16*2.1</f>
        <v>286.39999999999998</v>
      </c>
      <c r="L256" s="116">
        <f>148.27*2.7-25.4*2.1</f>
        <v>346.99</v>
      </c>
      <c r="M256" s="116">
        <f>125.87*2.7-17.6*2.1</f>
        <v>302.89</v>
      </c>
      <c r="N256" s="104">
        <f>VLOOKUP(B256,'Форма КП'!$B$17:$G$25,5,FALSE)</f>
        <v>0</v>
      </c>
      <c r="O256" s="104">
        <f>N256*F256</f>
        <v>0</v>
      </c>
      <c r="P256" s="104"/>
      <c r="Q256" s="104"/>
      <c r="R256" s="104">
        <f>N256</f>
        <v>0</v>
      </c>
      <c r="S256" s="104">
        <f>N256*F256</f>
        <v>0</v>
      </c>
    </row>
    <row r="257" spans="1:19" x14ac:dyDescent="0.25">
      <c r="A257" s="132" t="s">
        <v>374</v>
      </c>
      <c r="B257" s="128" t="s">
        <v>486</v>
      </c>
      <c r="C257" s="133" t="s">
        <v>487</v>
      </c>
      <c r="D257" s="90">
        <v>1.45</v>
      </c>
      <c r="E257" s="132" t="s">
        <v>6</v>
      </c>
      <c r="F257" s="134">
        <f t="shared" si="139"/>
        <v>3350.04</v>
      </c>
      <c r="G257" s="88">
        <f>G256*D257</f>
        <v>545.33000000000004</v>
      </c>
      <c r="H257" s="88">
        <f>H256*D257</f>
        <v>467.25</v>
      </c>
      <c r="I257" s="88">
        <f>I256*D257</f>
        <v>467.25</v>
      </c>
      <c r="J257" s="88">
        <f>J256*D257</f>
        <v>512.6</v>
      </c>
      <c r="K257" s="106">
        <f>K256*D257</f>
        <v>415.28</v>
      </c>
      <c r="L257" s="106">
        <f>L256*D257</f>
        <v>503.14</v>
      </c>
      <c r="M257" s="106">
        <f>M256*D257</f>
        <v>439.19</v>
      </c>
      <c r="N257" s="29"/>
      <c r="O257" s="29"/>
      <c r="P257" s="86">
        <f>VLOOKUP(B257,'Форма КП'!$B$27:$G$49,5,FALSE)</f>
        <v>0</v>
      </c>
      <c r="Q257" s="86">
        <f t="shared" ref="Q257" si="143">P257*F257</f>
        <v>0</v>
      </c>
      <c r="R257" s="32">
        <f t="shared" ref="R257:R259" si="144">P257</f>
        <v>0</v>
      </c>
      <c r="S257" s="32">
        <f t="shared" ref="S257" si="145">P257*F257</f>
        <v>0</v>
      </c>
    </row>
    <row r="258" spans="1:19" x14ac:dyDescent="0.25">
      <c r="A258" s="132" t="s">
        <v>375</v>
      </c>
      <c r="B258" s="128" t="s">
        <v>484</v>
      </c>
      <c r="C258" s="133" t="s">
        <v>225</v>
      </c>
      <c r="D258" s="90">
        <v>0.4</v>
      </c>
      <c r="E258" s="132" t="s">
        <v>226</v>
      </c>
      <c r="F258" s="134">
        <f t="shared" si="139"/>
        <v>924.17</v>
      </c>
      <c r="G258" s="88">
        <f>G256*D258</f>
        <v>150.44</v>
      </c>
      <c r="H258" s="88">
        <f>H256*D258</f>
        <v>128.9</v>
      </c>
      <c r="I258" s="88">
        <f>I256*D258</f>
        <v>128.9</v>
      </c>
      <c r="J258" s="88">
        <f>J256*D258</f>
        <v>141.41</v>
      </c>
      <c r="K258" s="106">
        <f>(118.52*2.7-16*2.1)*D258</f>
        <v>114.56</v>
      </c>
      <c r="L258" s="106">
        <f>(148.27*2.7-25.4*2.1)*D258</f>
        <v>138.80000000000001</v>
      </c>
      <c r="M258" s="106">
        <f>(125.87*2.7-17.6*2.1)*D258</f>
        <v>121.16</v>
      </c>
      <c r="N258" s="29"/>
      <c r="O258" s="29"/>
      <c r="P258" s="49" t="str">
        <f>VLOOKUP(B258,'Форма КП'!$B$27:$G$49,5,FALSE)</f>
        <v>Материал заказчика</v>
      </c>
      <c r="Q258" s="50"/>
      <c r="R258" s="49" t="str">
        <f t="shared" si="144"/>
        <v>Материал заказчика</v>
      </c>
      <c r="S258" s="50"/>
    </row>
    <row r="259" spans="1:19" x14ac:dyDescent="0.25">
      <c r="A259" s="132" t="s">
        <v>376</v>
      </c>
      <c r="B259" s="128" t="s">
        <v>511</v>
      </c>
      <c r="C259" s="133" t="s">
        <v>512</v>
      </c>
      <c r="D259" s="90">
        <v>16</v>
      </c>
      <c r="E259" s="132" t="s">
        <v>228</v>
      </c>
      <c r="F259" s="134">
        <f t="shared" si="139"/>
        <v>36965.919999999998</v>
      </c>
      <c r="G259" s="88">
        <f>G256*D259</f>
        <v>6017.44</v>
      </c>
      <c r="H259" s="88">
        <f>H256*D259</f>
        <v>5155.84</v>
      </c>
      <c r="I259" s="88">
        <f>I256*D259</f>
        <v>5155.84</v>
      </c>
      <c r="J259" s="88">
        <f>J256*D259</f>
        <v>5656.32</v>
      </c>
      <c r="K259" s="106">
        <f>K256*D259</f>
        <v>4582.3999999999996</v>
      </c>
      <c r="L259" s="106">
        <f>L256*D259</f>
        <v>5551.84</v>
      </c>
      <c r="M259" s="106">
        <f>M256*D259</f>
        <v>4846.24</v>
      </c>
      <c r="N259" s="29"/>
      <c r="O259" s="29"/>
      <c r="P259" s="49" t="str">
        <f>VLOOKUP(B259,'Форма КП'!$B$27:$G$49,5,FALSE)</f>
        <v>Материал заказчика</v>
      </c>
      <c r="Q259" s="50"/>
      <c r="R259" s="49" t="str">
        <f t="shared" si="144"/>
        <v>Материал заказчика</v>
      </c>
      <c r="S259" s="50"/>
    </row>
    <row r="260" spans="1:19" ht="132" x14ac:dyDescent="0.25">
      <c r="A260" s="127" t="s">
        <v>377</v>
      </c>
      <c r="B260" s="128" t="s">
        <v>481</v>
      </c>
      <c r="C260" s="129" t="s">
        <v>778</v>
      </c>
      <c r="D260" s="130"/>
      <c r="E260" s="127" t="s">
        <v>224</v>
      </c>
      <c r="F260" s="131">
        <f t="shared" si="139"/>
        <v>2093.27</v>
      </c>
      <c r="G260" s="116">
        <f>G256+G252</f>
        <v>733.61</v>
      </c>
      <c r="H260" s="116"/>
      <c r="I260" s="116"/>
      <c r="J260" s="116"/>
      <c r="K260" s="116"/>
      <c r="L260" s="116">
        <f>L252+L256</f>
        <v>721.04</v>
      </c>
      <c r="M260" s="116">
        <f>M252+M256</f>
        <v>638.62</v>
      </c>
      <c r="N260" s="104">
        <f>VLOOKUP(B260,'Форма КП'!$B$17:$G$25,5,FALSE)</f>
        <v>0</v>
      </c>
      <c r="O260" s="104">
        <f>N260*F260</f>
        <v>0</v>
      </c>
      <c r="P260" s="104"/>
      <c r="Q260" s="104"/>
      <c r="R260" s="104">
        <f>N260</f>
        <v>0</v>
      </c>
      <c r="S260" s="104">
        <f>N260*F260</f>
        <v>0</v>
      </c>
    </row>
    <row r="261" spans="1:19" x14ac:dyDescent="0.25">
      <c r="A261" s="132" t="s">
        <v>378</v>
      </c>
      <c r="B261" s="128" t="s">
        <v>482</v>
      </c>
      <c r="C261" s="133" t="s">
        <v>483</v>
      </c>
      <c r="D261" s="136">
        <v>2.4</v>
      </c>
      <c r="E261" s="132" t="s">
        <v>228</v>
      </c>
      <c r="F261" s="134">
        <f t="shared" si="139"/>
        <v>5023.8500000000004</v>
      </c>
      <c r="G261" s="88">
        <f>G260*D261</f>
        <v>1760.66</v>
      </c>
      <c r="H261" s="88">
        <f>H260*D261</f>
        <v>0</v>
      </c>
      <c r="I261" s="88">
        <f>I260*D261</f>
        <v>0</v>
      </c>
      <c r="J261" s="88">
        <f>J260*D261</f>
        <v>0</v>
      </c>
      <c r="K261" s="106">
        <f>K260*D261</f>
        <v>0</v>
      </c>
      <c r="L261" s="106">
        <f>L260*D261</f>
        <v>1730.5</v>
      </c>
      <c r="M261" s="106">
        <f>M260*D261</f>
        <v>1532.69</v>
      </c>
      <c r="N261" s="29"/>
      <c r="O261" s="29"/>
      <c r="P261" s="49" t="str">
        <f>VLOOKUP(B261,'Форма КП'!$B$27:$G$49,5,FALSE)</f>
        <v>Материал заказчика</v>
      </c>
      <c r="Q261" s="50"/>
      <c r="R261" s="49" t="str">
        <f t="shared" ref="R261:R262" si="146">P261</f>
        <v>Материал заказчика</v>
      </c>
      <c r="S261" s="50"/>
    </row>
    <row r="262" spans="1:19" x14ac:dyDescent="0.25">
      <c r="A262" s="132" t="s">
        <v>379</v>
      </c>
      <c r="B262" s="128" t="s">
        <v>484</v>
      </c>
      <c r="C262" s="133" t="s">
        <v>225</v>
      </c>
      <c r="D262" s="136">
        <v>0.15</v>
      </c>
      <c r="E262" s="132" t="s">
        <v>226</v>
      </c>
      <c r="F262" s="134">
        <f t="shared" si="139"/>
        <v>313.99</v>
      </c>
      <c r="G262" s="88">
        <f>G260*D262</f>
        <v>110.04</v>
      </c>
      <c r="H262" s="88">
        <f>H260*D262</f>
        <v>0</v>
      </c>
      <c r="I262" s="88">
        <f>I260*D262</f>
        <v>0</v>
      </c>
      <c r="J262" s="88">
        <f>J260*D262</f>
        <v>0</v>
      </c>
      <c r="K262" s="106">
        <f>K260*D262</f>
        <v>0</v>
      </c>
      <c r="L262" s="106">
        <f>L260*D262</f>
        <v>108.16</v>
      </c>
      <c r="M262" s="106">
        <f>M260*D262</f>
        <v>95.79</v>
      </c>
      <c r="N262" s="29"/>
      <c r="O262" s="29"/>
      <c r="P262" s="49" t="str">
        <f>VLOOKUP(B262,'Форма КП'!$B$27:$G$49,5,FALSE)</f>
        <v>Материал заказчика</v>
      </c>
      <c r="Q262" s="50"/>
      <c r="R262" s="49" t="str">
        <f t="shared" si="146"/>
        <v>Материал заказчика</v>
      </c>
      <c r="S262" s="50"/>
    </row>
    <row r="263" spans="1:19" ht="264" x14ac:dyDescent="0.25">
      <c r="A263" s="127" t="s">
        <v>380</v>
      </c>
      <c r="B263" s="128" t="s">
        <v>474</v>
      </c>
      <c r="C263" s="129" t="s">
        <v>782</v>
      </c>
      <c r="D263" s="130"/>
      <c r="E263" s="127" t="s">
        <v>224</v>
      </c>
      <c r="F263" s="131">
        <f t="shared" si="139"/>
        <v>111.86</v>
      </c>
      <c r="G263" s="115">
        <f>6.66*2.75+1.02*2.81</f>
        <v>21.18</v>
      </c>
      <c r="H263" s="115">
        <f>3.48*2.75</f>
        <v>9.57</v>
      </c>
      <c r="I263" s="115">
        <f>3.48*2.75</f>
        <v>9.57</v>
      </c>
      <c r="J263" s="115">
        <f>8.69*2.75</f>
        <v>23.9</v>
      </c>
      <c r="K263" s="115">
        <f>3.48*2.75</f>
        <v>9.57</v>
      </c>
      <c r="L263" s="115">
        <f>6.39*2.75+1.05*2.81</f>
        <v>20.52</v>
      </c>
      <c r="M263" s="115">
        <f>3.95*2.75+2.38*2.81</f>
        <v>17.55</v>
      </c>
      <c r="N263" s="104">
        <f>VLOOKUP(B263,'Форма КП'!$B$17:$G$25,5,FALSE)</f>
        <v>0</v>
      </c>
      <c r="O263" s="104">
        <f>N263*F263</f>
        <v>0</v>
      </c>
      <c r="P263" s="104"/>
      <c r="Q263" s="104"/>
      <c r="R263" s="104">
        <f>N263</f>
        <v>0</v>
      </c>
      <c r="S263" s="104">
        <f>N263*F263</f>
        <v>0</v>
      </c>
    </row>
    <row r="264" spans="1:19" x14ac:dyDescent="0.25">
      <c r="A264" s="132" t="s">
        <v>381</v>
      </c>
      <c r="B264" s="128" t="s">
        <v>524</v>
      </c>
      <c r="C264" s="133" t="s">
        <v>525</v>
      </c>
      <c r="D264" s="90">
        <v>2.25</v>
      </c>
      <c r="E264" s="132" t="s">
        <v>224</v>
      </c>
      <c r="F264" s="134">
        <f t="shared" si="139"/>
        <v>251.69</v>
      </c>
      <c r="G264" s="88">
        <f>G263*D264</f>
        <v>47.66</v>
      </c>
      <c r="H264" s="88">
        <f>H263*D264</f>
        <v>21.53</v>
      </c>
      <c r="I264" s="88">
        <f>I263*D264</f>
        <v>21.53</v>
      </c>
      <c r="J264" s="88">
        <f>J263*D264</f>
        <v>53.78</v>
      </c>
      <c r="K264" s="106">
        <f>K263*D264</f>
        <v>21.53</v>
      </c>
      <c r="L264" s="106">
        <f>L263*D264</f>
        <v>46.17</v>
      </c>
      <c r="M264" s="106">
        <f>M263*D264</f>
        <v>39.49</v>
      </c>
      <c r="N264" s="29"/>
      <c r="O264" s="29"/>
      <c r="P264" s="86">
        <f>VLOOKUP(B264,'Форма КП'!$B$27:$G$49,5,FALSE)</f>
        <v>0</v>
      </c>
      <c r="Q264" s="86">
        <f t="shared" ref="Q264:Q266" si="147">P264*F264</f>
        <v>0</v>
      </c>
      <c r="R264" s="32">
        <f t="shared" ref="R264:R266" si="148">P264</f>
        <v>0</v>
      </c>
      <c r="S264" s="32">
        <f t="shared" ref="S264:S266" si="149">P264*F264</f>
        <v>0</v>
      </c>
    </row>
    <row r="265" spans="1:19" x14ac:dyDescent="0.25">
      <c r="A265" s="132" t="s">
        <v>382</v>
      </c>
      <c r="B265" s="128" t="s">
        <v>477</v>
      </c>
      <c r="C265" s="133" t="s">
        <v>478</v>
      </c>
      <c r="D265" s="90">
        <v>0.86</v>
      </c>
      <c r="E265" s="132" t="s">
        <v>6</v>
      </c>
      <c r="F265" s="134">
        <f t="shared" si="139"/>
        <v>96.19</v>
      </c>
      <c r="G265" s="88">
        <f>G263*D265</f>
        <v>18.21</v>
      </c>
      <c r="H265" s="88">
        <f>H263*D265</f>
        <v>8.23</v>
      </c>
      <c r="I265" s="88">
        <f>I263*D265</f>
        <v>8.23</v>
      </c>
      <c r="J265" s="88">
        <f>J263*D265</f>
        <v>20.55</v>
      </c>
      <c r="K265" s="106">
        <f>K263*D265</f>
        <v>8.23</v>
      </c>
      <c r="L265" s="106">
        <f>L263*D265</f>
        <v>17.649999999999999</v>
      </c>
      <c r="M265" s="106">
        <f>M263*D265</f>
        <v>15.09</v>
      </c>
      <c r="N265" s="29"/>
      <c r="O265" s="29"/>
      <c r="P265" s="86">
        <f>VLOOKUP(B265,'Форма КП'!$B$27:$G$49,5,FALSE)</f>
        <v>0</v>
      </c>
      <c r="Q265" s="86">
        <f t="shared" si="147"/>
        <v>0</v>
      </c>
      <c r="R265" s="32">
        <f t="shared" si="148"/>
        <v>0</v>
      </c>
      <c r="S265" s="32">
        <f t="shared" si="149"/>
        <v>0</v>
      </c>
    </row>
    <row r="266" spans="1:19" x14ac:dyDescent="0.25">
      <c r="A266" s="132" t="s">
        <v>383</v>
      </c>
      <c r="B266" s="128" t="s">
        <v>479</v>
      </c>
      <c r="C266" s="133" t="s">
        <v>480</v>
      </c>
      <c r="D266" s="90">
        <v>2.34</v>
      </c>
      <c r="E266" s="132" t="s">
        <v>6</v>
      </c>
      <c r="F266" s="134">
        <f t="shared" si="139"/>
        <v>261.75</v>
      </c>
      <c r="G266" s="88">
        <f>G263*D266</f>
        <v>49.56</v>
      </c>
      <c r="H266" s="88">
        <f>H263*D266</f>
        <v>22.39</v>
      </c>
      <c r="I266" s="88">
        <f>I263*D266</f>
        <v>22.39</v>
      </c>
      <c r="J266" s="88">
        <f>J263*D266</f>
        <v>55.93</v>
      </c>
      <c r="K266" s="106">
        <f>K263*D266</f>
        <v>22.39</v>
      </c>
      <c r="L266" s="106">
        <f>L263*D266</f>
        <v>48.02</v>
      </c>
      <c r="M266" s="106">
        <f>M263*D266</f>
        <v>41.07</v>
      </c>
      <c r="N266" s="29"/>
      <c r="O266" s="29"/>
      <c r="P266" s="86">
        <f>VLOOKUP(B266,'Форма КП'!$B$27:$G$49,5,FALSE)</f>
        <v>0</v>
      </c>
      <c r="Q266" s="86">
        <f t="shared" si="147"/>
        <v>0</v>
      </c>
      <c r="R266" s="32">
        <f t="shared" si="148"/>
        <v>0</v>
      </c>
      <c r="S266" s="32">
        <f t="shared" si="149"/>
        <v>0</v>
      </c>
    </row>
    <row r="267" spans="1:19" x14ac:dyDescent="0.25">
      <c r="A267" s="119" t="s">
        <v>268</v>
      </c>
      <c r="B267" s="120"/>
      <c r="C267" s="121"/>
      <c r="D267" s="122"/>
      <c r="E267" s="123"/>
      <c r="F267" s="124"/>
      <c r="G267" s="125"/>
      <c r="H267" s="125"/>
      <c r="I267" s="125"/>
      <c r="J267" s="125"/>
      <c r="K267" s="125"/>
      <c r="L267" s="125"/>
      <c r="M267" s="125"/>
      <c r="N267" s="33"/>
      <c r="O267" s="33"/>
      <c r="P267" s="33"/>
      <c r="Q267" s="33"/>
      <c r="R267" s="33"/>
      <c r="S267" s="31"/>
    </row>
    <row r="268" spans="1:19" x14ac:dyDescent="0.25">
      <c r="A268" s="126" t="s">
        <v>223</v>
      </c>
      <c r="B268" s="120"/>
      <c r="C268" s="121"/>
      <c r="D268" s="122"/>
      <c r="E268" s="123"/>
      <c r="F268" s="124"/>
      <c r="G268" s="125"/>
      <c r="H268" s="125"/>
      <c r="I268" s="125"/>
      <c r="J268" s="125"/>
      <c r="K268" s="125"/>
      <c r="L268" s="125"/>
      <c r="M268" s="125"/>
      <c r="N268" s="33"/>
      <c r="O268" s="33"/>
      <c r="P268" s="33"/>
      <c r="Q268" s="33"/>
      <c r="R268" s="33"/>
      <c r="S268" s="31"/>
    </row>
    <row r="269" spans="1:19" ht="264" x14ac:dyDescent="0.25">
      <c r="A269" s="127" t="s">
        <v>384</v>
      </c>
      <c r="B269" s="128" t="s">
        <v>474</v>
      </c>
      <c r="C269" s="129" t="s">
        <v>782</v>
      </c>
      <c r="D269" s="130"/>
      <c r="E269" s="127" t="s">
        <v>224</v>
      </c>
      <c r="F269" s="131">
        <f t="shared" ref="F269:F294" si="150">SUM(G269:M269)</f>
        <v>187.58</v>
      </c>
      <c r="G269" s="113">
        <f>6.46*2.81-2.4*2.3+4.94*2.81</f>
        <v>26.51</v>
      </c>
      <c r="H269" s="113">
        <f>6.46*2.81-2.4*2.3+5.1*2.81</f>
        <v>26.96</v>
      </c>
      <c r="I269" s="113">
        <f>6.46*2.81-2.4*2.3+5.1*2.81</f>
        <v>26.96</v>
      </c>
      <c r="J269" s="113">
        <f>6.46*2.81-2.4*2.3+5.02*2.81</f>
        <v>26.74</v>
      </c>
      <c r="K269" s="113">
        <f>6.46*2.81-2.4*2.3+5.1*2.81</f>
        <v>26.96</v>
      </c>
      <c r="L269" s="113">
        <f>6.46*2.81-2.4*2.3+4.93*2.81</f>
        <v>26.49</v>
      </c>
      <c r="M269" s="113">
        <f>6.46*2.81-2.4*2.3+5.1*2.81</f>
        <v>26.96</v>
      </c>
      <c r="N269" s="104">
        <f>VLOOKUP(B269,'Форма КП'!$B$17:$G$25,5,FALSE)</f>
        <v>0</v>
      </c>
      <c r="O269" s="104">
        <f>N269*F269</f>
        <v>0</v>
      </c>
      <c r="P269" s="104"/>
      <c r="Q269" s="104"/>
      <c r="R269" s="104">
        <f>N269</f>
        <v>0</v>
      </c>
      <c r="S269" s="104">
        <f>N269*F269</f>
        <v>0</v>
      </c>
    </row>
    <row r="270" spans="1:19" x14ac:dyDescent="0.25">
      <c r="A270" s="132" t="s">
        <v>385</v>
      </c>
      <c r="B270" s="128" t="s">
        <v>475</v>
      </c>
      <c r="C270" s="133" t="s">
        <v>476</v>
      </c>
      <c r="D270" s="90">
        <v>2.25</v>
      </c>
      <c r="E270" s="132" t="s">
        <v>224</v>
      </c>
      <c r="F270" s="134">
        <f t="shared" si="150"/>
        <v>422.06</v>
      </c>
      <c r="G270" s="88">
        <f>G269*D270</f>
        <v>59.65</v>
      </c>
      <c r="H270" s="88">
        <f>H269*D270</f>
        <v>60.66</v>
      </c>
      <c r="I270" s="88">
        <f>I269*D270</f>
        <v>60.66</v>
      </c>
      <c r="J270" s="88">
        <f>J269*D270</f>
        <v>60.17</v>
      </c>
      <c r="K270" s="88">
        <f>K269*D270</f>
        <v>60.66</v>
      </c>
      <c r="L270" s="88">
        <f>L269*D270</f>
        <v>59.6</v>
      </c>
      <c r="M270" s="88">
        <f>M269*D270</f>
        <v>60.66</v>
      </c>
      <c r="N270" s="29"/>
      <c r="O270" s="29"/>
      <c r="P270" s="86">
        <f>VLOOKUP(B270,'Форма КП'!$B$27:$G$49,5,FALSE)</f>
        <v>0</v>
      </c>
      <c r="Q270" s="86">
        <f t="shared" ref="Q270:Q272" si="151">P270*F270</f>
        <v>0</v>
      </c>
      <c r="R270" s="32">
        <f t="shared" ref="R270:R272" si="152">P270</f>
        <v>0</v>
      </c>
      <c r="S270" s="32">
        <f t="shared" ref="S270:S272" si="153">P270*F270</f>
        <v>0</v>
      </c>
    </row>
    <row r="271" spans="1:19" x14ac:dyDescent="0.25">
      <c r="A271" s="132" t="s">
        <v>386</v>
      </c>
      <c r="B271" s="128" t="s">
        <v>477</v>
      </c>
      <c r="C271" s="133" t="s">
        <v>478</v>
      </c>
      <c r="D271" s="90">
        <v>0.86</v>
      </c>
      <c r="E271" s="132" t="s">
        <v>6</v>
      </c>
      <c r="F271" s="134">
        <f t="shared" si="150"/>
        <v>161.34</v>
      </c>
      <c r="G271" s="88">
        <f>G269*D271</f>
        <v>22.8</v>
      </c>
      <c r="H271" s="88">
        <f>H269*D271</f>
        <v>23.19</v>
      </c>
      <c r="I271" s="88">
        <f>I269*D271</f>
        <v>23.19</v>
      </c>
      <c r="J271" s="88">
        <f>J269*D271</f>
        <v>23</v>
      </c>
      <c r="K271" s="88">
        <f>K269*D271</f>
        <v>23.19</v>
      </c>
      <c r="L271" s="88">
        <f>L269*D271</f>
        <v>22.78</v>
      </c>
      <c r="M271" s="88">
        <f>M269*D271</f>
        <v>23.19</v>
      </c>
      <c r="N271" s="29"/>
      <c r="O271" s="29"/>
      <c r="P271" s="86">
        <f>VLOOKUP(B271,'Форма КП'!$B$27:$G$49,5,FALSE)</f>
        <v>0</v>
      </c>
      <c r="Q271" s="86">
        <f t="shared" si="151"/>
        <v>0</v>
      </c>
      <c r="R271" s="32">
        <f t="shared" si="152"/>
        <v>0</v>
      </c>
      <c r="S271" s="32">
        <f t="shared" si="153"/>
        <v>0</v>
      </c>
    </row>
    <row r="272" spans="1:19" x14ac:dyDescent="0.25">
      <c r="A272" s="132" t="s">
        <v>387</v>
      </c>
      <c r="B272" s="128" t="s">
        <v>479</v>
      </c>
      <c r="C272" s="133" t="s">
        <v>480</v>
      </c>
      <c r="D272" s="90">
        <v>2.34</v>
      </c>
      <c r="E272" s="132" t="s">
        <v>6</v>
      </c>
      <c r="F272" s="134">
        <f t="shared" si="150"/>
        <v>438.95</v>
      </c>
      <c r="G272" s="88">
        <f>G269*D272</f>
        <v>62.03</v>
      </c>
      <c r="H272" s="88">
        <f>H269*D272</f>
        <v>63.09</v>
      </c>
      <c r="I272" s="88">
        <f>I269*D272</f>
        <v>63.09</v>
      </c>
      <c r="J272" s="88">
        <f>J269*D272</f>
        <v>62.57</v>
      </c>
      <c r="K272" s="88">
        <f>K269*D272</f>
        <v>63.09</v>
      </c>
      <c r="L272" s="88">
        <f>L269*D272</f>
        <v>61.99</v>
      </c>
      <c r="M272" s="88">
        <f>M269*D272</f>
        <v>63.09</v>
      </c>
      <c r="N272" s="29"/>
      <c r="O272" s="29"/>
      <c r="P272" s="86">
        <f>VLOOKUP(B272,'Форма КП'!$B$27:$G$49,5,FALSE)</f>
        <v>0</v>
      </c>
      <c r="Q272" s="86">
        <f t="shared" si="151"/>
        <v>0</v>
      </c>
      <c r="R272" s="32">
        <f t="shared" si="152"/>
        <v>0</v>
      </c>
      <c r="S272" s="32">
        <f t="shared" si="153"/>
        <v>0</v>
      </c>
    </row>
    <row r="273" spans="1:19" ht="216" x14ac:dyDescent="0.25">
      <c r="A273" s="127" t="s">
        <v>388</v>
      </c>
      <c r="B273" s="128" t="s">
        <v>510</v>
      </c>
      <c r="C273" s="129" t="s">
        <v>776</v>
      </c>
      <c r="D273" s="130"/>
      <c r="E273" s="127" t="s">
        <v>224</v>
      </c>
      <c r="F273" s="131">
        <f t="shared" si="150"/>
        <v>767.22</v>
      </c>
      <c r="G273" s="113">
        <f>(64.23-2)*2.7-12.99*2.1-1.37*1.7</f>
        <v>138.41</v>
      </c>
      <c r="H273" s="113">
        <f>(45.78-2)*2.7-8.2*2.1-3.05*1.7</f>
        <v>95.8</v>
      </c>
      <c r="I273" s="113">
        <f>(45.78-2)*2.7-8.2*2.1-3.05*1.7</f>
        <v>95.8</v>
      </c>
      <c r="J273" s="113">
        <f>(58-2)*2.7-11.99*2.1-1.37*1.7</f>
        <v>123.69</v>
      </c>
      <c r="K273" s="113">
        <f>(45.79-2)*2.7-8.2*2.1-3.05*1.7</f>
        <v>95.83</v>
      </c>
      <c r="L273" s="113">
        <f>(55.94-2)*2.7-10.2*2.1-1.37*1.7</f>
        <v>121.89</v>
      </c>
      <c r="M273" s="113">
        <f>(45.78-2)*2.7-3.05*1.7-8.2*2.1</f>
        <v>95.8</v>
      </c>
      <c r="N273" s="104">
        <f>VLOOKUP(B273,'Форма КП'!$B$17:$G$25,5,FALSE)</f>
        <v>0</v>
      </c>
      <c r="O273" s="104">
        <f>N273*F273</f>
        <v>0</v>
      </c>
      <c r="P273" s="104"/>
      <c r="Q273" s="104"/>
      <c r="R273" s="104">
        <f>N273</f>
        <v>0</v>
      </c>
      <c r="S273" s="104">
        <f>N273*F273</f>
        <v>0</v>
      </c>
    </row>
    <row r="274" spans="1:19" x14ac:dyDescent="0.25">
      <c r="A274" s="132" t="s">
        <v>389</v>
      </c>
      <c r="B274" s="128" t="s">
        <v>486</v>
      </c>
      <c r="C274" s="133" t="s">
        <v>487</v>
      </c>
      <c r="D274" s="90">
        <v>1.45</v>
      </c>
      <c r="E274" s="132" t="s">
        <v>6</v>
      </c>
      <c r="F274" s="134">
        <f t="shared" si="150"/>
        <v>1112.46</v>
      </c>
      <c r="G274" s="88">
        <f>G273*D274</f>
        <v>200.69</v>
      </c>
      <c r="H274" s="88">
        <f>H273*D274</f>
        <v>138.91</v>
      </c>
      <c r="I274" s="88">
        <f>I273*D274</f>
        <v>138.91</v>
      </c>
      <c r="J274" s="88">
        <f>J273*D274</f>
        <v>179.35</v>
      </c>
      <c r="K274" s="88">
        <f>K273*D274</f>
        <v>138.94999999999999</v>
      </c>
      <c r="L274" s="88">
        <f>L273*D274</f>
        <v>176.74</v>
      </c>
      <c r="M274" s="88">
        <f>M273*D274</f>
        <v>138.91</v>
      </c>
      <c r="N274" s="29"/>
      <c r="O274" s="29"/>
      <c r="P274" s="86">
        <f>VLOOKUP(B274,'Форма КП'!$B$27:$G$49,5,FALSE)</f>
        <v>0</v>
      </c>
      <c r="Q274" s="86">
        <f t="shared" ref="Q274" si="154">P274*F274</f>
        <v>0</v>
      </c>
      <c r="R274" s="32">
        <f t="shared" ref="R274:R276" si="155">P274</f>
        <v>0</v>
      </c>
      <c r="S274" s="32">
        <f t="shared" ref="S274" si="156">P274*F274</f>
        <v>0</v>
      </c>
    </row>
    <row r="275" spans="1:19" x14ac:dyDescent="0.25">
      <c r="A275" s="132" t="s">
        <v>390</v>
      </c>
      <c r="B275" s="128" t="s">
        <v>488</v>
      </c>
      <c r="C275" s="133" t="s">
        <v>489</v>
      </c>
      <c r="D275" s="90">
        <v>0.2</v>
      </c>
      <c r="E275" s="132" t="s">
        <v>228</v>
      </c>
      <c r="F275" s="134">
        <f t="shared" si="150"/>
        <v>155.61000000000001</v>
      </c>
      <c r="G275" s="88">
        <f>((64.23-2)*2.7-12.99*2.1-1.37*1.7)*D275</f>
        <v>27.68</v>
      </c>
      <c r="H275" s="88">
        <f>(45.78*2.7-8.2*2.1-3.05*1.7)*D275</f>
        <v>20.239999999999998</v>
      </c>
      <c r="I275" s="88">
        <f>(45.78*2.7-8.2*2.1-3.05*1.7)*D275</f>
        <v>20.239999999999998</v>
      </c>
      <c r="J275" s="88">
        <f>((58-2)*2.7-11.99*2.1-1.37*1.7)*D275</f>
        <v>24.74</v>
      </c>
      <c r="K275" s="88">
        <f>((45.79-2)*2.7-8.2*2.1-3.05*1.7)*D275</f>
        <v>19.170000000000002</v>
      </c>
      <c r="L275" s="88">
        <f>((55.94-2)*2.7-10.2*2.1-1.37*1.7)*D275</f>
        <v>24.38</v>
      </c>
      <c r="M275" s="88">
        <f>((45.78-2)*2.7-3.05*1.7-8.2*2.1)*D275</f>
        <v>19.16</v>
      </c>
      <c r="N275" s="29"/>
      <c r="O275" s="29"/>
      <c r="P275" s="49" t="str">
        <f>VLOOKUP(B275,'Форма КП'!$B$27:$G$49,5,FALSE)</f>
        <v>Материал заказчика</v>
      </c>
      <c r="Q275" s="50"/>
      <c r="R275" s="49" t="str">
        <f t="shared" si="155"/>
        <v>Материал заказчика</v>
      </c>
      <c r="S275" s="50"/>
    </row>
    <row r="276" spans="1:19" x14ac:dyDescent="0.25">
      <c r="A276" s="132" t="s">
        <v>391</v>
      </c>
      <c r="B276" s="128" t="s">
        <v>511</v>
      </c>
      <c r="C276" s="133" t="s">
        <v>512</v>
      </c>
      <c r="D276" s="90">
        <v>16</v>
      </c>
      <c r="E276" s="132" t="s">
        <v>228</v>
      </c>
      <c r="F276" s="134">
        <f t="shared" si="150"/>
        <v>12275.52</v>
      </c>
      <c r="G276" s="88">
        <f>G273*D276</f>
        <v>2214.56</v>
      </c>
      <c r="H276" s="88">
        <f>H273*D276</f>
        <v>1532.8</v>
      </c>
      <c r="I276" s="88">
        <f>I273*D276</f>
        <v>1532.8</v>
      </c>
      <c r="J276" s="88">
        <f>J273*D276</f>
        <v>1979.04</v>
      </c>
      <c r="K276" s="88">
        <f>K273*D276</f>
        <v>1533.28</v>
      </c>
      <c r="L276" s="88">
        <f>L273*D276</f>
        <v>1950.24</v>
      </c>
      <c r="M276" s="88">
        <f>M273*D276</f>
        <v>1532.8</v>
      </c>
      <c r="N276" s="29"/>
      <c r="O276" s="29"/>
      <c r="P276" s="49" t="str">
        <f>VLOOKUP(B276,'Форма КП'!$B$27:$G$49,5,FALSE)</f>
        <v>Материал заказчика</v>
      </c>
      <c r="Q276" s="50"/>
      <c r="R276" s="49" t="str">
        <f t="shared" si="155"/>
        <v>Материал заказчика</v>
      </c>
      <c r="S276" s="50"/>
    </row>
    <row r="277" spans="1:19" ht="216" x14ac:dyDescent="0.25">
      <c r="A277" s="127" t="s">
        <v>392</v>
      </c>
      <c r="B277" s="128" t="s">
        <v>510</v>
      </c>
      <c r="C277" s="129" t="s">
        <v>776</v>
      </c>
      <c r="D277" s="130"/>
      <c r="E277" s="127" t="s">
        <v>224</v>
      </c>
      <c r="F277" s="131">
        <f t="shared" si="150"/>
        <v>183.61</v>
      </c>
      <c r="G277" s="113">
        <f>12.7*2.7-2*2.1</f>
        <v>30.09</v>
      </c>
      <c r="H277" s="113">
        <f>10.8*2.7-2*2.1</f>
        <v>24.96</v>
      </c>
      <c r="I277" s="113">
        <f>10.8*2.7-2*2.1</f>
        <v>24.96</v>
      </c>
      <c r="J277" s="113">
        <f>13.21*2.7-2*2.1</f>
        <v>31.47</v>
      </c>
      <c r="K277" s="113">
        <f>10.8*2.7-2*2.1</f>
        <v>24.96</v>
      </c>
      <c r="L277" s="113">
        <f>9.78*2.7-2*2.1</f>
        <v>22.21</v>
      </c>
      <c r="M277" s="113">
        <f>10.8*2.7-2*2.1</f>
        <v>24.96</v>
      </c>
      <c r="N277" s="104">
        <f>VLOOKUP(B277,'Форма КП'!$B$17:$G$25,5,FALSE)</f>
        <v>0</v>
      </c>
      <c r="O277" s="104">
        <f>N277*F277</f>
        <v>0</v>
      </c>
      <c r="P277" s="104"/>
      <c r="Q277" s="104"/>
      <c r="R277" s="104">
        <f>N277</f>
        <v>0</v>
      </c>
      <c r="S277" s="104">
        <f>N277*F277</f>
        <v>0</v>
      </c>
    </row>
    <row r="278" spans="1:19" x14ac:dyDescent="0.25">
      <c r="A278" s="132" t="s">
        <v>394</v>
      </c>
      <c r="B278" s="128" t="s">
        <v>486</v>
      </c>
      <c r="C278" s="133" t="s">
        <v>487</v>
      </c>
      <c r="D278" s="90">
        <v>1.45</v>
      </c>
      <c r="E278" s="132" t="s">
        <v>6</v>
      </c>
      <c r="F278" s="134">
        <f t="shared" si="150"/>
        <v>266.22000000000003</v>
      </c>
      <c r="G278" s="88">
        <f>G277*D278</f>
        <v>43.63</v>
      </c>
      <c r="H278" s="88">
        <f>H277*D278</f>
        <v>36.19</v>
      </c>
      <c r="I278" s="88">
        <f>I277*D278</f>
        <v>36.19</v>
      </c>
      <c r="J278" s="88">
        <f>J277*D278</f>
        <v>45.63</v>
      </c>
      <c r="K278" s="88">
        <f>K277*D278</f>
        <v>36.19</v>
      </c>
      <c r="L278" s="88">
        <f>L277*D278</f>
        <v>32.200000000000003</v>
      </c>
      <c r="M278" s="88">
        <f>M277*D278</f>
        <v>36.19</v>
      </c>
      <c r="N278" s="29"/>
      <c r="O278" s="29"/>
      <c r="P278" s="86">
        <f>VLOOKUP(B278,'Форма КП'!$B$27:$G$49,5,FALSE)</f>
        <v>0</v>
      </c>
      <c r="Q278" s="86">
        <f t="shared" ref="Q278" si="157">P278*F278</f>
        <v>0</v>
      </c>
      <c r="R278" s="32">
        <f t="shared" ref="R278:R280" si="158">P278</f>
        <v>0</v>
      </c>
      <c r="S278" s="32">
        <f t="shared" ref="S278" si="159">P278*F278</f>
        <v>0</v>
      </c>
    </row>
    <row r="279" spans="1:19" x14ac:dyDescent="0.25">
      <c r="A279" s="132" t="s">
        <v>395</v>
      </c>
      <c r="B279" s="128" t="s">
        <v>484</v>
      </c>
      <c r="C279" s="133" t="s">
        <v>225</v>
      </c>
      <c r="D279" s="90">
        <v>0.4</v>
      </c>
      <c r="E279" s="132" t="s">
        <v>226</v>
      </c>
      <c r="F279" s="134">
        <f t="shared" si="150"/>
        <v>73.430000000000007</v>
      </c>
      <c r="G279" s="88">
        <f>(12.7*2.7-2*2.1)*D279</f>
        <v>12.04</v>
      </c>
      <c r="H279" s="88">
        <f>(10.8*2.7-2*2.1)*D279</f>
        <v>9.98</v>
      </c>
      <c r="I279" s="88">
        <f>(10.8*2.7-2*2.1)*D279</f>
        <v>9.98</v>
      </c>
      <c r="J279" s="88">
        <f>(13.21*2.7-2*2.1)*D279</f>
        <v>12.59</v>
      </c>
      <c r="K279" s="88">
        <f>(10.8*2.7-2*2.1)*D279</f>
        <v>9.98</v>
      </c>
      <c r="L279" s="88">
        <f>(9.78*2.7-2*2.1)*D279</f>
        <v>8.8800000000000008</v>
      </c>
      <c r="M279" s="88">
        <f>(10.8*2.7-2*2.1)*D279</f>
        <v>9.98</v>
      </c>
      <c r="N279" s="29"/>
      <c r="O279" s="29"/>
      <c r="P279" s="49" t="str">
        <f>VLOOKUP(B279,'Форма КП'!$B$27:$G$49,5,FALSE)</f>
        <v>Материал заказчика</v>
      </c>
      <c r="Q279" s="50"/>
      <c r="R279" s="49" t="str">
        <f t="shared" si="158"/>
        <v>Материал заказчика</v>
      </c>
      <c r="S279" s="50"/>
    </row>
    <row r="280" spans="1:19" x14ac:dyDescent="0.25">
      <c r="A280" s="132" t="s">
        <v>396</v>
      </c>
      <c r="B280" s="128" t="s">
        <v>511</v>
      </c>
      <c r="C280" s="133" t="s">
        <v>512</v>
      </c>
      <c r="D280" s="90">
        <v>16</v>
      </c>
      <c r="E280" s="132" t="s">
        <v>228</v>
      </c>
      <c r="F280" s="134">
        <f t="shared" si="150"/>
        <v>2937.76</v>
      </c>
      <c r="G280" s="88">
        <f>G277*D280</f>
        <v>481.44</v>
      </c>
      <c r="H280" s="88">
        <f>H277*D280</f>
        <v>399.36</v>
      </c>
      <c r="I280" s="88">
        <f>I277*D280</f>
        <v>399.36</v>
      </c>
      <c r="J280" s="88">
        <f>J277*D280</f>
        <v>503.52</v>
      </c>
      <c r="K280" s="88">
        <f>K277*D280</f>
        <v>399.36</v>
      </c>
      <c r="L280" s="88">
        <f>L277*D280</f>
        <v>355.36</v>
      </c>
      <c r="M280" s="88">
        <f>M277*D280</f>
        <v>399.36</v>
      </c>
      <c r="N280" s="29"/>
      <c r="O280" s="29"/>
      <c r="P280" s="49" t="str">
        <f>VLOOKUP(B280,'Форма КП'!$B$27:$G$49,5,FALSE)</f>
        <v>Материал заказчика</v>
      </c>
      <c r="Q280" s="50"/>
      <c r="R280" s="49" t="str">
        <f t="shared" si="158"/>
        <v>Материал заказчика</v>
      </c>
      <c r="S280" s="50"/>
    </row>
    <row r="281" spans="1:19" ht="120" x14ac:dyDescent="0.25">
      <c r="A281" s="127" t="s">
        <v>397</v>
      </c>
      <c r="B281" s="128" t="s">
        <v>513</v>
      </c>
      <c r="C281" s="129" t="s">
        <v>777</v>
      </c>
      <c r="D281" s="130"/>
      <c r="E281" s="127" t="s">
        <v>224</v>
      </c>
      <c r="F281" s="131">
        <f t="shared" si="150"/>
        <v>669.66</v>
      </c>
      <c r="G281" s="115">
        <f>(59.41-2)*2.7-13.69*2.1</f>
        <v>126.26</v>
      </c>
      <c r="H281" s="115">
        <f>(39.06-2)*2.7-8.9*2.1-1.37*1.7</f>
        <v>79.040000000000006</v>
      </c>
      <c r="I281" s="115">
        <f>(39.06-2)*2.7-8.9*2.1-1.37*1.7</f>
        <v>79.040000000000006</v>
      </c>
      <c r="J281" s="115">
        <f>52.31*2.7-12.69*2.1</f>
        <v>114.59</v>
      </c>
      <c r="K281" s="115">
        <f>39.06*2.7-8.9*2.1-1.37*1.7</f>
        <v>84.44</v>
      </c>
      <c r="L281" s="115">
        <f>48.2*2.7-10.9*2.1</f>
        <v>107.25</v>
      </c>
      <c r="M281" s="115">
        <f>(39.06-2)*2.7-8.9*2.1-1.37*1.7</f>
        <v>79.040000000000006</v>
      </c>
      <c r="N281" s="104">
        <f>VLOOKUP(B281,'Форма КП'!$B$17:$G$25,5,FALSE)</f>
        <v>0</v>
      </c>
      <c r="O281" s="104">
        <f>N281*F281</f>
        <v>0</v>
      </c>
      <c r="P281" s="104"/>
      <c r="Q281" s="104"/>
      <c r="R281" s="104">
        <f>N281</f>
        <v>0</v>
      </c>
      <c r="S281" s="104">
        <f>N281*F281</f>
        <v>0</v>
      </c>
    </row>
    <row r="282" spans="1:19" x14ac:dyDescent="0.25">
      <c r="A282" s="132" t="s">
        <v>398</v>
      </c>
      <c r="B282" s="128" t="s">
        <v>484</v>
      </c>
      <c r="C282" s="133" t="s">
        <v>225</v>
      </c>
      <c r="D282" s="90">
        <v>0.15</v>
      </c>
      <c r="E282" s="132" t="s">
        <v>226</v>
      </c>
      <c r="F282" s="134">
        <f t="shared" si="150"/>
        <v>100.47</v>
      </c>
      <c r="G282" s="88">
        <f>G281*D282</f>
        <v>18.940000000000001</v>
      </c>
      <c r="H282" s="88">
        <f>H281*D282</f>
        <v>11.86</v>
      </c>
      <c r="I282" s="88">
        <f>I281*D282</f>
        <v>11.86</v>
      </c>
      <c r="J282" s="88">
        <f>J281*D282</f>
        <v>17.190000000000001</v>
      </c>
      <c r="K282" s="88">
        <f>K281*D282</f>
        <v>12.67</v>
      </c>
      <c r="L282" s="88">
        <f>L281*D282</f>
        <v>16.09</v>
      </c>
      <c r="M282" s="88">
        <f>M281*D282</f>
        <v>11.86</v>
      </c>
      <c r="N282" s="29"/>
      <c r="O282" s="29"/>
      <c r="P282" s="49" t="str">
        <f>VLOOKUP(B282,'Форма КП'!$B$27:$G$49,5,FALSE)</f>
        <v>Материал заказчика</v>
      </c>
      <c r="Q282" s="50"/>
      <c r="R282" s="49" t="str">
        <f t="shared" ref="R282:R283" si="160">P282</f>
        <v>Материал заказчика</v>
      </c>
      <c r="S282" s="50"/>
    </row>
    <row r="283" spans="1:19" x14ac:dyDescent="0.25">
      <c r="A283" s="132" t="s">
        <v>399</v>
      </c>
      <c r="B283" s="128" t="s">
        <v>514</v>
      </c>
      <c r="C283" s="133" t="s">
        <v>515</v>
      </c>
      <c r="D283" s="90">
        <v>5</v>
      </c>
      <c r="E283" s="132" t="s">
        <v>228</v>
      </c>
      <c r="F283" s="134">
        <f t="shared" si="150"/>
        <v>3348.3</v>
      </c>
      <c r="G283" s="88">
        <f>G281*D283</f>
        <v>631.29999999999995</v>
      </c>
      <c r="H283" s="88">
        <f>H281*D283</f>
        <v>395.2</v>
      </c>
      <c r="I283" s="88">
        <f>I281*D283</f>
        <v>395.2</v>
      </c>
      <c r="J283" s="88">
        <f>J281*D283</f>
        <v>572.95000000000005</v>
      </c>
      <c r="K283" s="88">
        <f>K281*D283</f>
        <v>422.2</v>
      </c>
      <c r="L283" s="88">
        <f>L281*D283</f>
        <v>536.25</v>
      </c>
      <c r="M283" s="88">
        <f>M281*D283</f>
        <v>395.2</v>
      </c>
      <c r="N283" s="29"/>
      <c r="O283" s="29"/>
      <c r="P283" s="49" t="str">
        <f>VLOOKUP(B283,'Форма КП'!$B$27:$G$49,5,FALSE)</f>
        <v>Материал заказчика</v>
      </c>
      <c r="Q283" s="50"/>
      <c r="R283" s="49" t="str">
        <f t="shared" si="160"/>
        <v>Материал заказчика</v>
      </c>
      <c r="S283" s="50"/>
    </row>
    <row r="284" spans="1:19" ht="156" x14ac:dyDescent="0.25">
      <c r="A284" s="127" t="s">
        <v>400</v>
      </c>
      <c r="B284" s="128" t="s">
        <v>493</v>
      </c>
      <c r="C284" s="129" t="s">
        <v>780</v>
      </c>
      <c r="D284" s="130"/>
      <c r="E284" s="127" t="s">
        <v>224</v>
      </c>
      <c r="F284" s="131">
        <f t="shared" si="150"/>
        <v>14.4</v>
      </c>
      <c r="G284" s="112">
        <f>0.2*2*6</f>
        <v>2.4</v>
      </c>
      <c r="H284" s="112">
        <f t="shared" ref="H284:M284" si="161">0.2*2*5</f>
        <v>2</v>
      </c>
      <c r="I284" s="112">
        <f t="shared" si="161"/>
        <v>2</v>
      </c>
      <c r="J284" s="112">
        <f t="shared" si="161"/>
        <v>2</v>
      </c>
      <c r="K284" s="112">
        <f t="shared" si="161"/>
        <v>2</v>
      </c>
      <c r="L284" s="112">
        <f t="shared" si="161"/>
        <v>2</v>
      </c>
      <c r="M284" s="112">
        <f t="shared" si="161"/>
        <v>2</v>
      </c>
      <c r="N284" s="104">
        <f>VLOOKUP(B284,'Форма КП'!$B$17:$G$25,5,FALSE)</f>
        <v>0</v>
      </c>
      <c r="O284" s="104">
        <f>N284*F284</f>
        <v>0</v>
      </c>
      <c r="P284" s="104"/>
      <c r="Q284" s="104"/>
      <c r="R284" s="104">
        <f>N284</f>
        <v>0</v>
      </c>
      <c r="S284" s="104">
        <f>N284*F284</f>
        <v>0</v>
      </c>
    </row>
    <row r="285" spans="1:19" x14ac:dyDescent="0.25">
      <c r="A285" s="132" t="s">
        <v>401</v>
      </c>
      <c r="B285" s="128" t="s">
        <v>484</v>
      </c>
      <c r="C285" s="133" t="s">
        <v>225</v>
      </c>
      <c r="D285" s="90">
        <v>0.15</v>
      </c>
      <c r="E285" s="132" t="s">
        <v>226</v>
      </c>
      <c r="F285" s="134">
        <f t="shared" si="150"/>
        <v>2.16</v>
      </c>
      <c r="G285" s="88">
        <f>G284*D285</f>
        <v>0.36</v>
      </c>
      <c r="H285" s="88">
        <f>H284*D285</f>
        <v>0.3</v>
      </c>
      <c r="I285" s="88">
        <f>I284*D285</f>
        <v>0.3</v>
      </c>
      <c r="J285" s="88">
        <f>J284*D285</f>
        <v>0.3</v>
      </c>
      <c r="K285" s="88">
        <f>K284*D285</f>
        <v>0.3</v>
      </c>
      <c r="L285" s="88">
        <f>L284*D285</f>
        <v>0.3</v>
      </c>
      <c r="M285" s="88">
        <f>M284*D285</f>
        <v>0.3</v>
      </c>
      <c r="N285" s="29"/>
      <c r="O285" s="29"/>
      <c r="P285" s="49" t="str">
        <f>VLOOKUP(B285,'Форма КП'!$B$27:$G$49,5,FALSE)</f>
        <v>Материал заказчика</v>
      </c>
      <c r="Q285" s="50"/>
      <c r="R285" s="49" t="str">
        <f t="shared" ref="R285:R288" si="162">P285</f>
        <v>Материал заказчика</v>
      </c>
      <c r="S285" s="50"/>
    </row>
    <row r="286" spans="1:19" x14ac:dyDescent="0.25">
      <c r="A286" s="132" t="s">
        <v>402</v>
      </c>
      <c r="B286" s="128" t="s">
        <v>496</v>
      </c>
      <c r="C286" s="133" t="s">
        <v>227</v>
      </c>
      <c r="D286" s="90">
        <v>10</v>
      </c>
      <c r="E286" s="132" t="s">
        <v>228</v>
      </c>
      <c r="F286" s="134">
        <f t="shared" si="150"/>
        <v>144</v>
      </c>
      <c r="G286" s="88">
        <f>G284*D286</f>
        <v>24</v>
      </c>
      <c r="H286" s="88">
        <f>H284*D286</f>
        <v>20</v>
      </c>
      <c r="I286" s="88">
        <f>I284*D286</f>
        <v>20</v>
      </c>
      <c r="J286" s="88">
        <f>J284*D286</f>
        <v>20</v>
      </c>
      <c r="K286" s="88">
        <f>K284*D286</f>
        <v>20</v>
      </c>
      <c r="L286" s="88">
        <f>L284*D286</f>
        <v>20</v>
      </c>
      <c r="M286" s="88">
        <f>M284*D286</f>
        <v>20</v>
      </c>
      <c r="N286" s="29"/>
      <c r="O286" s="29"/>
      <c r="P286" s="49" t="str">
        <f>VLOOKUP(B286,'Форма КП'!$B$27:$G$49,5,FALSE)</f>
        <v>Материал заказчика</v>
      </c>
      <c r="Q286" s="50"/>
      <c r="R286" s="49" t="str">
        <f t="shared" si="162"/>
        <v>Материал заказчика</v>
      </c>
      <c r="S286" s="50"/>
    </row>
    <row r="287" spans="1:19" x14ac:dyDescent="0.25">
      <c r="A287" s="132" t="s">
        <v>403</v>
      </c>
      <c r="B287" s="128" t="s">
        <v>523</v>
      </c>
      <c r="C287" s="133" t="s">
        <v>229</v>
      </c>
      <c r="D287" s="90">
        <v>0.2</v>
      </c>
      <c r="E287" s="132" t="s">
        <v>228</v>
      </c>
      <c r="F287" s="134">
        <f t="shared" si="150"/>
        <v>2.88</v>
      </c>
      <c r="G287" s="88">
        <f>G284*D287</f>
        <v>0.48</v>
      </c>
      <c r="H287" s="88">
        <f>H284*D287</f>
        <v>0.4</v>
      </c>
      <c r="I287" s="88">
        <f>I284*D287</f>
        <v>0.4</v>
      </c>
      <c r="J287" s="88">
        <f>J284*D287</f>
        <v>0.4</v>
      </c>
      <c r="K287" s="88">
        <f>K284*D287</f>
        <v>0.4</v>
      </c>
      <c r="L287" s="88">
        <f>L284*D287</f>
        <v>0.4</v>
      </c>
      <c r="M287" s="88">
        <f>M284*D287</f>
        <v>0.4</v>
      </c>
      <c r="N287" s="29"/>
      <c r="O287" s="29"/>
      <c r="P287" s="49" t="str">
        <f>VLOOKUP(B287,'Форма КП'!$B$27:$G$49,5,FALSE)</f>
        <v>Материал заказчика</v>
      </c>
      <c r="Q287" s="50"/>
      <c r="R287" s="49" t="str">
        <f t="shared" si="162"/>
        <v>Материал заказчика</v>
      </c>
      <c r="S287" s="50"/>
    </row>
    <row r="288" spans="1:19" x14ac:dyDescent="0.25">
      <c r="A288" s="132" t="s">
        <v>404</v>
      </c>
      <c r="B288" s="128" t="s">
        <v>501</v>
      </c>
      <c r="C288" s="133" t="s">
        <v>502</v>
      </c>
      <c r="D288" s="90">
        <v>1.05</v>
      </c>
      <c r="E288" s="132" t="s">
        <v>224</v>
      </c>
      <c r="F288" s="134">
        <f t="shared" si="150"/>
        <v>15.12</v>
      </c>
      <c r="G288" s="88">
        <f>G284*D288</f>
        <v>2.52</v>
      </c>
      <c r="H288" s="88">
        <f>H284*D288</f>
        <v>2.1</v>
      </c>
      <c r="I288" s="88">
        <f>I284*D288</f>
        <v>2.1</v>
      </c>
      <c r="J288" s="88">
        <f>J284*D288</f>
        <v>2.1</v>
      </c>
      <c r="K288" s="88">
        <f>K284*D288</f>
        <v>2.1</v>
      </c>
      <c r="L288" s="88">
        <f>L284*D288</f>
        <v>2.1</v>
      </c>
      <c r="M288" s="88">
        <f>M284*D288</f>
        <v>2.1</v>
      </c>
      <c r="N288" s="29"/>
      <c r="O288" s="29"/>
      <c r="P288" s="49" t="str">
        <f>VLOOKUP(B288,'Форма КП'!$B$27:$G$49,5,FALSE)</f>
        <v>Материал заказчика</v>
      </c>
      <c r="Q288" s="50"/>
      <c r="R288" s="49" t="str">
        <f t="shared" si="162"/>
        <v>Материал заказчика</v>
      </c>
      <c r="S288" s="50"/>
    </row>
    <row r="289" spans="1:19" ht="108" x14ac:dyDescent="0.25">
      <c r="A289" s="127" t="s">
        <v>405</v>
      </c>
      <c r="B289" s="128" t="s">
        <v>505</v>
      </c>
      <c r="C289" s="129" t="s">
        <v>779</v>
      </c>
      <c r="D289" s="130"/>
      <c r="E289" s="127" t="s">
        <v>224</v>
      </c>
      <c r="F289" s="131">
        <f t="shared" si="150"/>
        <v>247.76</v>
      </c>
      <c r="G289" s="113">
        <v>35.69</v>
      </c>
      <c r="H289" s="113">
        <v>35.18</v>
      </c>
      <c r="I289" s="113">
        <v>35.18</v>
      </c>
      <c r="J289" s="113">
        <v>35.659999999999997</v>
      </c>
      <c r="K289" s="113">
        <v>35.18</v>
      </c>
      <c r="L289" s="113">
        <v>35.69</v>
      </c>
      <c r="M289" s="113">
        <v>35.18</v>
      </c>
      <c r="N289" s="104">
        <f>VLOOKUP(B289,'Форма КП'!$B$17:$G$25,5,FALSE)</f>
        <v>0</v>
      </c>
      <c r="O289" s="104">
        <f>N289*F289</f>
        <v>0</v>
      </c>
      <c r="P289" s="104"/>
      <c r="Q289" s="104"/>
      <c r="R289" s="104">
        <f>N289</f>
        <v>0</v>
      </c>
      <c r="S289" s="104">
        <f>N289*F289</f>
        <v>0</v>
      </c>
    </row>
    <row r="290" spans="1:19" x14ac:dyDescent="0.25">
      <c r="A290" s="132" t="s">
        <v>406</v>
      </c>
      <c r="B290" s="128" t="s">
        <v>484</v>
      </c>
      <c r="C290" s="133" t="s">
        <v>225</v>
      </c>
      <c r="D290" s="90">
        <v>0.15</v>
      </c>
      <c r="E290" s="132" t="s">
        <v>226</v>
      </c>
      <c r="F290" s="134">
        <f t="shared" si="150"/>
        <v>37.17</v>
      </c>
      <c r="G290" s="88">
        <f>G289*D290</f>
        <v>5.35</v>
      </c>
      <c r="H290" s="88">
        <f>H289*D290</f>
        <v>5.28</v>
      </c>
      <c r="I290" s="88">
        <f>I289*D290</f>
        <v>5.28</v>
      </c>
      <c r="J290" s="88">
        <f>J289*D290</f>
        <v>5.35</v>
      </c>
      <c r="K290" s="88">
        <f>K289*D290</f>
        <v>5.28</v>
      </c>
      <c r="L290" s="88">
        <f>L289*D290</f>
        <v>5.35</v>
      </c>
      <c r="M290" s="88">
        <f>M289*D290</f>
        <v>5.28</v>
      </c>
      <c r="N290" s="29"/>
      <c r="O290" s="29"/>
      <c r="P290" s="49" t="str">
        <f>VLOOKUP(B290,'Форма КП'!$B$27:$G$49,5,FALSE)</f>
        <v>Материал заказчика</v>
      </c>
      <c r="Q290" s="50"/>
      <c r="R290" s="49" t="str">
        <f t="shared" ref="R290:R291" si="163">P290</f>
        <v>Материал заказчика</v>
      </c>
      <c r="S290" s="50"/>
    </row>
    <row r="291" spans="1:19" ht="24" x14ac:dyDescent="0.25">
      <c r="A291" s="132" t="s">
        <v>407</v>
      </c>
      <c r="B291" s="128" t="s">
        <v>506</v>
      </c>
      <c r="C291" s="133" t="s">
        <v>507</v>
      </c>
      <c r="D291" s="90">
        <v>0.25</v>
      </c>
      <c r="E291" s="132" t="s">
        <v>226</v>
      </c>
      <c r="F291" s="134">
        <f t="shared" si="150"/>
        <v>61.96</v>
      </c>
      <c r="G291" s="88">
        <f>G289*D291</f>
        <v>8.92</v>
      </c>
      <c r="H291" s="88">
        <f>H289*D291</f>
        <v>8.8000000000000007</v>
      </c>
      <c r="I291" s="88">
        <f>I289*D291</f>
        <v>8.8000000000000007</v>
      </c>
      <c r="J291" s="88">
        <f>J289*D291</f>
        <v>8.92</v>
      </c>
      <c r="K291" s="88">
        <f>K289*D291</f>
        <v>8.8000000000000007</v>
      </c>
      <c r="L291" s="88">
        <f>L289*D291</f>
        <v>8.92</v>
      </c>
      <c r="M291" s="88">
        <f>M289*D291</f>
        <v>8.8000000000000007</v>
      </c>
      <c r="N291" s="29"/>
      <c r="O291" s="29"/>
      <c r="P291" s="49" t="str">
        <f>VLOOKUP(B291,'Форма КП'!$B$27:$G$49,5,FALSE)</f>
        <v>Материал заказчика</v>
      </c>
      <c r="Q291" s="50"/>
      <c r="R291" s="49" t="str">
        <f t="shared" si="163"/>
        <v>Материал заказчика</v>
      </c>
      <c r="S291" s="50"/>
    </row>
    <row r="292" spans="1:19" ht="108" x14ac:dyDescent="0.25">
      <c r="A292" s="127" t="s">
        <v>408</v>
      </c>
      <c r="B292" s="128" t="s">
        <v>505</v>
      </c>
      <c r="C292" s="129" t="s">
        <v>779</v>
      </c>
      <c r="D292" s="130"/>
      <c r="E292" s="127" t="s">
        <v>224</v>
      </c>
      <c r="F292" s="131">
        <f t="shared" si="150"/>
        <v>45.92</v>
      </c>
      <c r="G292" s="113">
        <f t="shared" ref="G292:M292" si="164">2.43*2.7</f>
        <v>6.56</v>
      </c>
      <c r="H292" s="113">
        <f t="shared" si="164"/>
        <v>6.56</v>
      </c>
      <c r="I292" s="113">
        <f t="shared" si="164"/>
        <v>6.56</v>
      </c>
      <c r="J292" s="113">
        <f t="shared" si="164"/>
        <v>6.56</v>
      </c>
      <c r="K292" s="113">
        <f t="shared" si="164"/>
        <v>6.56</v>
      </c>
      <c r="L292" s="113">
        <f t="shared" si="164"/>
        <v>6.56</v>
      </c>
      <c r="M292" s="113">
        <f t="shared" si="164"/>
        <v>6.56</v>
      </c>
      <c r="N292" s="104">
        <f>VLOOKUP(B292,'Форма КП'!$B$17:$G$25,5,FALSE)</f>
        <v>0</v>
      </c>
      <c r="O292" s="104">
        <f>N292*F292</f>
        <v>0</v>
      </c>
      <c r="P292" s="104"/>
      <c r="Q292" s="104"/>
      <c r="R292" s="104">
        <f>N292</f>
        <v>0</v>
      </c>
      <c r="S292" s="104">
        <f>N292*F292</f>
        <v>0</v>
      </c>
    </row>
    <row r="293" spans="1:19" x14ac:dyDescent="0.25">
      <c r="A293" s="132" t="s">
        <v>409</v>
      </c>
      <c r="B293" s="128" t="s">
        <v>484</v>
      </c>
      <c r="C293" s="133" t="s">
        <v>225</v>
      </c>
      <c r="D293" s="90">
        <v>0.15</v>
      </c>
      <c r="E293" s="132" t="s">
        <v>226</v>
      </c>
      <c r="F293" s="134">
        <f t="shared" si="150"/>
        <v>6.86</v>
      </c>
      <c r="G293" s="88">
        <f>G292*D293</f>
        <v>0.98</v>
      </c>
      <c r="H293" s="88">
        <f>H292*D293</f>
        <v>0.98</v>
      </c>
      <c r="I293" s="88">
        <f>I292*D293</f>
        <v>0.98</v>
      </c>
      <c r="J293" s="88">
        <f>J292*D293</f>
        <v>0.98</v>
      </c>
      <c r="K293" s="88">
        <f>K292*D293</f>
        <v>0.98</v>
      </c>
      <c r="L293" s="88">
        <f>L292*D293</f>
        <v>0.98</v>
      </c>
      <c r="M293" s="88">
        <f>M292*D293</f>
        <v>0.98</v>
      </c>
      <c r="N293" s="29"/>
      <c r="O293" s="29"/>
      <c r="P293" s="49" t="str">
        <f>VLOOKUP(B293,'Форма КП'!$B$27:$G$49,5,FALSE)</f>
        <v>Материал заказчика</v>
      </c>
      <c r="Q293" s="50"/>
      <c r="R293" s="49" t="str">
        <f t="shared" ref="R293:R294" si="165">P293</f>
        <v>Материал заказчика</v>
      </c>
      <c r="S293" s="50"/>
    </row>
    <row r="294" spans="1:19" ht="24" x14ac:dyDescent="0.25">
      <c r="A294" s="132" t="s">
        <v>410</v>
      </c>
      <c r="B294" s="128" t="s">
        <v>508</v>
      </c>
      <c r="C294" s="133" t="s">
        <v>509</v>
      </c>
      <c r="D294" s="90">
        <v>0.25</v>
      </c>
      <c r="E294" s="132" t="s">
        <v>226</v>
      </c>
      <c r="F294" s="134">
        <f t="shared" si="150"/>
        <v>11.48</v>
      </c>
      <c r="G294" s="88">
        <f>G292*D294</f>
        <v>1.64</v>
      </c>
      <c r="H294" s="88">
        <f>H292*D294</f>
        <v>1.64</v>
      </c>
      <c r="I294" s="88">
        <f>I292*D294</f>
        <v>1.64</v>
      </c>
      <c r="J294" s="88">
        <f>J292*D294</f>
        <v>1.64</v>
      </c>
      <c r="K294" s="88">
        <f>K292*D294</f>
        <v>1.64</v>
      </c>
      <c r="L294" s="88">
        <f>L292*D294</f>
        <v>1.64</v>
      </c>
      <c r="M294" s="88">
        <f>M292*D294</f>
        <v>1.64</v>
      </c>
      <c r="N294" s="29"/>
      <c r="O294" s="29"/>
      <c r="P294" s="49" t="str">
        <f>VLOOKUP(B294,'Форма КП'!$B$27:$G$49,5,FALSE)</f>
        <v>Материал заказчика</v>
      </c>
      <c r="Q294" s="50"/>
      <c r="R294" s="49" t="str">
        <f t="shared" si="165"/>
        <v>Материал заказчика</v>
      </c>
      <c r="S294" s="50"/>
    </row>
    <row r="295" spans="1:19" x14ac:dyDescent="0.25">
      <c r="A295" s="126" t="s">
        <v>232</v>
      </c>
      <c r="B295" s="120"/>
      <c r="C295" s="121"/>
      <c r="D295" s="122"/>
      <c r="E295" s="123"/>
      <c r="F295" s="124"/>
      <c r="G295" s="125"/>
      <c r="H295" s="125"/>
      <c r="I295" s="125"/>
      <c r="J295" s="125"/>
      <c r="K295" s="125"/>
      <c r="L295" s="125"/>
      <c r="M295" s="125"/>
      <c r="N295" s="33"/>
      <c r="O295" s="33"/>
      <c r="P295" s="33"/>
      <c r="Q295" s="33"/>
      <c r="R295" s="33"/>
      <c r="S295" s="31"/>
    </row>
    <row r="296" spans="1:19" ht="216" x14ac:dyDescent="0.25">
      <c r="A296" s="127" t="s">
        <v>411</v>
      </c>
      <c r="B296" s="128" t="s">
        <v>510</v>
      </c>
      <c r="C296" s="129" t="s">
        <v>776</v>
      </c>
      <c r="D296" s="130"/>
      <c r="E296" s="127" t="s">
        <v>224</v>
      </c>
      <c r="F296" s="131">
        <f t="shared" ref="F296:F310" si="166">SUM(G296:M296)</f>
        <v>2475.61</v>
      </c>
      <c r="G296" s="113">
        <f>117.7*2.78+7.6*0.68+14.6*1.2+11.8*0.5+3.6*0.48</f>
        <v>357.52</v>
      </c>
      <c r="H296" s="113">
        <f>116.62*2.78+3*0.68+9.8*0.5+11.8*1.2+7.4*0.48</f>
        <v>348.86</v>
      </c>
      <c r="I296" s="113">
        <f>116.62*2.78+3*0.68+9.8*0.5+11.8*1.2+7.4*0.48</f>
        <v>348.86</v>
      </c>
      <c r="J296" s="113">
        <f>135.76*2.78+9.6*0.5+16.5*1.2+9.6*0.68+3.6*0.48</f>
        <v>410.27</v>
      </c>
      <c r="K296" s="116">
        <f>131.42*2.7-3*2.1-17.17*1.7-9.87*2.3+9.2*0.4</f>
        <v>300.32</v>
      </c>
      <c r="L296" s="116">
        <f>165.09*2.7-10.6*2.1-16.57*1.7-9.87*2.3+3.6*0.4</f>
        <v>374.05</v>
      </c>
      <c r="M296" s="116">
        <f>144.8*2.7-3*2.1-17.17*1.7-9.87*2.3+7.4*0.4</f>
        <v>335.73</v>
      </c>
      <c r="N296" s="104">
        <f>VLOOKUP(B296,'Форма КП'!$B$17:$G$25,5,FALSE)</f>
        <v>0</v>
      </c>
      <c r="O296" s="104">
        <f>N296*F296</f>
        <v>0</v>
      </c>
      <c r="P296" s="104"/>
      <c r="Q296" s="104"/>
      <c r="R296" s="104">
        <f>N296</f>
        <v>0</v>
      </c>
      <c r="S296" s="104">
        <f>N296*F296</f>
        <v>0</v>
      </c>
    </row>
    <row r="297" spans="1:19" x14ac:dyDescent="0.25">
      <c r="A297" s="132" t="s">
        <v>412</v>
      </c>
      <c r="B297" s="128" t="s">
        <v>486</v>
      </c>
      <c r="C297" s="133" t="s">
        <v>487</v>
      </c>
      <c r="D297" s="90">
        <v>1.45</v>
      </c>
      <c r="E297" s="132" t="s">
        <v>6</v>
      </c>
      <c r="F297" s="134">
        <f t="shared" si="166"/>
        <v>3589.63</v>
      </c>
      <c r="G297" s="88">
        <f>G296*D297</f>
        <v>518.4</v>
      </c>
      <c r="H297" s="88">
        <f>H296*D297</f>
        <v>505.85</v>
      </c>
      <c r="I297" s="88">
        <f>I296*D297</f>
        <v>505.85</v>
      </c>
      <c r="J297" s="88">
        <f>J296*D297</f>
        <v>594.89</v>
      </c>
      <c r="K297" s="106">
        <f>K296*D297</f>
        <v>435.46</v>
      </c>
      <c r="L297" s="106">
        <f>L296*D297</f>
        <v>542.37</v>
      </c>
      <c r="M297" s="106">
        <f>M296*D297</f>
        <v>486.81</v>
      </c>
      <c r="N297" s="29"/>
      <c r="O297" s="29"/>
      <c r="P297" s="86">
        <f>VLOOKUP(B297,'Форма КП'!$B$27:$G$49,5,FALSE)</f>
        <v>0</v>
      </c>
      <c r="Q297" s="86">
        <f t="shared" ref="Q297" si="167">P297*F297</f>
        <v>0</v>
      </c>
      <c r="R297" s="32">
        <f t="shared" ref="R297:R299" si="168">P297</f>
        <v>0</v>
      </c>
      <c r="S297" s="32">
        <f t="shared" ref="S297" si="169">P297*F297</f>
        <v>0</v>
      </c>
    </row>
    <row r="298" spans="1:19" x14ac:dyDescent="0.25">
      <c r="A298" s="132" t="s">
        <v>413</v>
      </c>
      <c r="B298" s="128" t="s">
        <v>488</v>
      </c>
      <c r="C298" s="133" t="s">
        <v>489</v>
      </c>
      <c r="D298" s="90">
        <v>0.2</v>
      </c>
      <c r="E298" s="132" t="s">
        <v>228</v>
      </c>
      <c r="F298" s="134">
        <f t="shared" si="166"/>
        <v>495.11</v>
      </c>
      <c r="G298" s="88">
        <f>G296*D298</f>
        <v>71.5</v>
      </c>
      <c r="H298" s="88">
        <f>H296*D298</f>
        <v>69.77</v>
      </c>
      <c r="I298" s="88">
        <f>I296*D298</f>
        <v>69.77</v>
      </c>
      <c r="J298" s="88">
        <f>J296*D298</f>
        <v>82.05</v>
      </c>
      <c r="K298" s="106">
        <f>(131.42*2.7-3*2.1-17.17*1.7-9.87*2.3+9.2*0.4)*D298</f>
        <v>60.06</v>
      </c>
      <c r="L298" s="106">
        <f>(165.09*2.7-10.6*2.1-16.57*1.7-9.87*2.3+3.6*0.4)*D298</f>
        <v>74.81</v>
      </c>
      <c r="M298" s="106">
        <f>(144.8*2.7-3*2.1-17.17*1.7-9.87*2.3+7.4*0.4)*D298</f>
        <v>67.150000000000006</v>
      </c>
      <c r="N298" s="29"/>
      <c r="O298" s="29"/>
      <c r="P298" s="49" t="str">
        <f>VLOOKUP(B298,'Форма КП'!$B$27:$G$49,5,FALSE)</f>
        <v>Материал заказчика</v>
      </c>
      <c r="Q298" s="50"/>
      <c r="R298" s="49" t="str">
        <f t="shared" si="168"/>
        <v>Материал заказчика</v>
      </c>
      <c r="S298" s="50"/>
    </row>
    <row r="299" spans="1:19" x14ac:dyDescent="0.25">
      <c r="A299" s="132" t="s">
        <v>414</v>
      </c>
      <c r="B299" s="128" t="s">
        <v>511</v>
      </c>
      <c r="C299" s="133" t="s">
        <v>512</v>
      </c>
      <c r="D299" s="90">
        <v>16</v>
      </c>
      <c r="E299" s="132" t="s">
        <v>228</v>
      </c>
      <c r="F299" s="134">
        <f t="shared" si="166"/>
        <v>39609.760000000002</v>
      </c>
      <c r="G299" s="88">
        <f>G296*D299</f>
        <v>5720.32</v>
      </c>
      <c r="H299" s="88">
        <f>H296*D299</f>
        <v>5581.76</v>
      </c>
      <c r="I299" s="88">
        <f>I296*D299</f>
        <v>5581.76</v>
      </c>
      <c r="J299" s="88">
        <f>J296*D299</f>
        <v>6564.32</v>
      </c>
      <c r="K299" s="106">
        <f>K296*D299</f>
        <v>4805.12</v>
      </c>
      <c r="L299" s="106">
        <f>L296*D299</f>
        <v>5984.8</v>
      </c>
      <c r="M299" s="106">
        <f>M296*D299</f>
        <v>5371.68</v>
      </c>
      <c r="N299" s="29"/>
      <c r="O299" s="29"/>
      <c r="P299" s="49" t="str">
        <f>VLOOKUP(B299,'Форма КП'!$B$27:$G$49,5,FALSE)</f>
        <v>Материал заказчика</v>
      </c>
      <c r="Q299" s="50"/>
      <c r="R299" s="49" t="str">
        <f t="shared" si="168"/>
        <v>Материал заказчика</v>
      </c>
      <c r="S299" s="50"/>
    </row>
    <row r="300" spans="1:19" ht="216" x14ac:dyDescent="0.25">
      <c r="A300" s="127" t="s">
        <v>415</v>
      </c>
      <c r="B300" s="128" t="s">
        <v>510</v>
      </c>
      <c r="C300" s="129" t="s">
        <v>776</v>
      </c>
      <c r="D300" s="130"/>
      <c r="E300" s="127" t="s">
        <v>224</v>
      </c>
      <c r="F300" s="131">
        <f t="shared" si="166"/>
        <v>2310.37</v>
      </c>
      <c r="G300" s="113">
        <f>130*2.78+21.6*0.68</f>
        <v>376.09</v>
      </c>
      <c r="H300" s="113">
        <f>111.56*2.78+17.8*0.68</f>
        <v>322.24</v>
      </c>
      <c r="I300" s="113">
        <f>111.56*2.78+17.8*0.68</f>
        <v>322.24</v>
      </c>
      <c r="J300" s="113">
        <f>121*2.78+25.2*0.68</f>
        <v>353.52</v>
      </c>
      <c r="K300" s="116">
        <f>118.52*2.7-16*2.1</f>
        <v>286.39999999999998</v>
      </c>
      <c r="L300" s="116">
        <f>148.27*2.7-25.4*2.1</f>
        <v>346.99</v>
      </c>
      <c r="M300" s="116">
        <f>125.87*2.7-17.6*2.1</f>
        <v>302.89</v>
      </c>
      <c r="N300" s="104">
        <f>VLOOKUP(B300,'Форма КП'!$B$17:$G$25,5,FALSE)</f>
        <v>0</v>
      </c>
      <c r="O300" s="104">
        <f>N300*F300</f>
        <v>0</v>
      </c>
      <c r="P300" s="104"/>
      <c r="Q300" s="104"/>
      <c r="R300" s="104">
        <f>N300</f>
        <v>0</v>
      </c>
      <c r="S300" s="104">
        <f>N300*F300</f>
        <v>0</v>
      </c>
    </row>
    <row r="301" spans="1:19" x14ac:dyDescent="0.25">
      <c r="A301" s="132" t="s">
        <v>416</v>
      </c>
      <c r="B301" s="128" t="s">
        <v>486</v>
      </c>
      <c r="C301" s="133" t="s">
        <v>487</v>
      </c>
      <c r="D301" s="90">
        <v>1.45</v>
      </c>
      <c r="E301" s="132" t="s">
        <v>6</v>
      </c>
      <c r="F301" s="134">
        <f t="shared" si="166"/>
        <v>3350.04</v>
      </c>
      <c r="G301" s="88">
        <f>G300*D301</f>
        <v>545.33000000000004</v>
      </c>
      <c r="H301" s="88">
        <f>H300*D301</f>
        <v>467.25</v>
      </c>
      <c r="I301" s="88">
        <f>I300*D301</f>
        <v>467.25</v>
      </c>
      <c r="J301" s="88">
        <f>J300*D301</f>
        <v>512.6</v>
      </c>
      <c r="K301" s="106">
        <f>K300*D301</f>
        <v>415.28</v>
      </c>
      <c r="L301" s="106">
        <f>L300*D301</f>
        <v>503.14</v>
      </c>
      <c r="M301" s="106">
        <f>M300*D301</f>
        <v>439.19</v>
      </c>
      <c r="N301" s="29"/>
      <c r="O301" s="29"/>
      <c r="P301" s="86">
        <f>VLOOKUP(B301,'Форма КП'!$B$27:$G$49,5,FALSE)</f>
        <v>0</v>
      </c>
      <c r="Q301" s="86">
        <f t="shared" ref="Q301" si="170">P301*F301</f>
        <v>0</v>
      </c>
      <c r="R301" s="32">
        <f t="shared" ref="R301:R303" si="171">P301</f>
        <v>0</v>
      </c>
      <c r="S301" s="32">
        <f t="shared" ref="S301" si="172">P301*F301</f>
        <v>0</v>
      </c>
    </row>
    <row r="302" spans="1:19" x14ac:dyDescent="0.25">
      <c r="A302" s="132" t="s">
        <v>417</v>
      </c>
      <c r="B302" s="128" t="s">
        <v>484</v>
      </c>
      <c r="C302" s="133" t="s">
        <v>225</v>
      </c>
      <c r="D302" s="90">
        <v>0.4</v>
      </c>
      <c r="E302" s="132" t="s">
        <v>226</v>
      </c>
      <c r="F302" s="134">
        <f t="shared" si="166"/>
        <v>924.17</v>
      </c>
      <c r="G302" s="88">
        <f>G300*D302</f>
        <v>150.44</v>
      </c>
      <c r="H302" s="88">
        <f>H300*D302</f>
        <v>128.9</v>
      </c>
      <c r="I302" s="88">
        <f>I300*D302</f>
        <v>128.9</v>
      </c>
      <c r="J302" s="88">
        <f>J300*D302</f>
        <v>141.41</v>
      </c>
      <c r="K302" s="106">
        <f>(118.52*2.7-16*2.1)*D302</f>
        <v>114.56</v>
      </c>
      <c r="L302" s="106">
        <f>(148.27*2.7-25.4*2.1)*D302</f>
        <v>138.80000000000001</v>
      </c>
      <c r="M302" s="106">
        <f>(125.87*2.7-17.6*2.1)*D302</f>
        <v>121.16</v>
      </c>
      <c r="N302" s="29"/>
      <c r="O302" s="29"/>
      <c r="P302" s="49" t="str">
        <f>VLOOKUP(B302,'Форма КП'!$B$27:$G$49,5,FALSE)</f>
        <v>Материал заказчика</v>
      </c>
      <c r="Q302" s="50"/>
      <c r="R302" s="49" t="str">
        <f t="shared" si="171"/>
        <v>Материал заказчика</v>
      </c>
      <c r="S302" s="50"/>
    </row>
    <row r="303" spans="1:19" x14ac:dyDescent="0.25">
      <c r="A303" s="132" t="s">
        <v>419</v>
      </c>
      <c r="B303" s="128" t="s">
        <v>511</v>
      </c>
      <c r="C303" s="133" t="s">
        <v>512</v>
      </c>
      <c r="D303" s="90">
        <v>16</v>
      </c>
      <c r="E303" s="132" t="s">
        <v>228</v>
      </c>
      <c r="F303" s="134">
        <f t="shared" si="166"/>
        <v>36965.919999999998</v>
      </c>
      <c r="G303" s="88">
        <f>G300*D303</f>
        <v>6017.44</v>
      </c>
      <c r="H303" s="88">
        <f>H300*D303</f>
        <v>5155.84</v>
      </c>
      <c r="I303" s="88">
        <f>I300*D303</f>
        <v>5155.84</v>
      </c>
      <c r="J303" s="88">
        <f>J300*D303</f>
        <v>5656.32</v>
      </c>
      <c r="K303" s="106">
        <f>K300*D303</f>
        <v>4582.3999999999996</v>
      </c>
      <c r="L303" s="106">
        <f>L300*D303</f>
        <v>5551.84</v>
      </c>
      <c r="M303" s="106">
        <f>M300*D303</f>
        <v>4846.24</v>
      </c>
      <c r="N303" s="29"/>
      <c r="O303" s="29"/>
      <c r="P303" s="49" t="str">
        <f>VLOOKUP(B303,'Форма КП'!$B$27:$G$49,5,FALSE)</f>
        <v>Материал заказчика</v>
      </c>
      <c r="Q303" s="50"/>
      <c r="R303" s="49" t="str">
        <f t="shared" si="171"/>
        <v>Материал заказчика</v>
      </c>
      <c r="S303" s="50"/>
    </row>
    <row r="304" spans="1:19" ht="132" x14ac:dyDescent="0.25">
      <c r="A304" s="127" t="s">
        <v>420</v>
      </c>
      <c r="B304" s="128" t="s">
        <v>481</v>
      </c>
      <c r="C304" s="129" t="s">
        <v>778</v>
      </c>
      <c r="D304" s="130"/>
      <c r="E304" s="127" t="s">
        <v>224</v>
      </c>
      <c r="F304" s="131">
        <f t="shared" si="166"/>
        <v>2093.27</v>
      </c>
      <c r="G304" s="116">
        <f>G300+G296</f>
        <v>733.61</v>
      </c>
      <c r="H304" s="116"/>
      <c r="I304" s="116"/>
      <c r="J304" s="116"/>
      <c r="K304" s="116"/>
      <c r="L304" s="116">
        <f>L296+L300</f>
        <v>721.04</v>
      </c>
      <c r="M304" s="116">
        <f>M296+M300</f>
        <v>638.62</v>
      </c>
      <c r="N304" s="104">
        <f>VLOOKUP(B304,'Форма КП'!$B$17:$G$25,5,FALSE)</f>
        <v>0</v>
      </c>
      <c r="O304" s="104">
        <f>N304*F304</f>
        <v>0</v>
      </c>
      <c r="P304" s="104"/>
      <c r="Q304" s="104"/>
      <c r="R304" s="104">
        <f>N304</f>
        <v>0</v>
      </c>
      <c r="S304" s="104">
        <f>N304*F304</f>
        <v>0</v>
      </c>
    </row>
    <row r="305" spans="1:19" x14ac:dyDescent="0.25">
      <c r="A305" s="132" t="s">
        <v>421</v>
      </c>
      <c r="B305" s="128" t="s">
        <v>482</v>
      </c>
      <c r="C305" s="133" t="s">
        <v>483</v>
      </c>
      <c r="D305" s="136">
        <v>2.4</v>
      </c>
      <c r="E305" s="132" t="s">
        <v>228</v>
      </c>
      <c r="F305" s="134">
        <f t="shared" si="166"/>
        <v>5023.8500000000004</v>
      </c>
      <c r="G305" s="88">
        <f>G304*D305</f>
        <v>1760.66</v>
      </c>
      <c r="H305" s="88">
        <f>H304*D305</f>
        <v>0</v>
      </c>
      <c r="I305" s="88">
        <f>I304*D305</f>
        <v>0</v>
      </c>
      <c r="J305" s="88">
        <f>J304*D305</f>
        <v>0</v>
      </c>
      <c r="K305" s="106">
        <f>K304*D305</f>
        <v>0</v>
      </c>
      <c r="L305" s="106">
        <f>L304*D305</f>
        <v>1730.5</v>
      </c>
      <c r="M305" s="106">
        <f>M304*D305</f>
        <v>1532.69</v>
      </c>
      <c r="N305" s="29"/>
      <c r="O305" s="29"/>
      <c r="P305" s="49" t="str">
        <f>VLOOKUP(B305,'Форма КП'!$B$27:$G$49,5,FALSE)</f>
        <v>Материал заказчика</v>
      </c>
      <c r="Q305" s="50"/>
      <c r="R305" s="49" t="str">
        <f t="shared" ref="R305:R306" si="173">P305</f>
        <v>Материал заказчика</v>
      </c>
      <c r="S305" s="50"/>
    </row>
    <row r="306" spans="1:19" x14ac:dyDescent="0.25">
      <c r="A306" s="132" t="s">
        <v>422</v>
      </c>
      <c r="B306" s="128" t="s">
        <v>484</v>
      </c>
      <c r="C306" s="133" t="s">
        <v>225</v>
      </c>
      <c r="D306" s="136">
        <v>0.15</v>
      </c>
      <c r="E306" s="132" t="s">
        <v>226</v>
      </c>
      <c r="F306" s="134">
        <f t="shared" si="166"/>
        <v>313.99</v>
      </c>
      <c r="G306" s="88">
        <f>G304*D306</f>
        <v>110.04</v>
      </c>
      <c r="H306" s="88">
        <f>H304*D306</f>
        <v>0</v>
      </c>
      <c r="I306" s="88">
        <f>I304*D306</f>
        <v>0</v>
      </c>
      <c r="J306" s="88">
        <f>J304*D306</f>
        <v>0</v>
      </c>
      <c r="K306" s="106">
        <f>K304*D306</f>
        <v>0</v>
      </c>
      <c r="L306" s="106">
        <f>L304*D306</f>
        <v>108.16</v>
      </c>
      <c r="M306" s="106">
        <f>M304*D306</f>
        <v>95.79</v>
      </c>
      <c r="N306" s="29"/>
      <c r="O306" s="29"/>
      <c r="P306" s="49" t="str">
        <f>VLOOKUP(B306,'Форма КП'!$B$27:$G$49,5,FALSE)</f>
        <v>Материал заказчика</v>
      </c>
      <c r="Q306" s="50"/>
      <c r="R306" s="49" t="str">
        <f t="shared" si="173"/>
        <v>Материал заказчика</v>
      </c>
      <c r="S306" s="50"/>
    </row>
    <row r="307" spans="1:19" ht="264" x14ac:dyDescent="0.25">
      <c r="A307" s="127" t="s">
        <v>423</v>
      </c>
      <c r="B307" s="128" t="s">
        <v>474</v>
      </c>
      <c r="C307" s="129" t="s">
        <v>782</v>
      </c>
      <c r="D307" s="130"/>
      <c r="E307" s="127" t="s">
        <v>224</v>
      </c>
      <c r="F307" s="131">
        <f t="shared" si="166"/>
        <v>111.86</v>
      </c>
      <c r="G307" s="115">
        <f>6.66*2.75+1.02*2.81</f>
        <v>21.18</v>
      </c>
      <c r="H307" s="115">
        <f>3.48*2.75</f>
        <v>9.57</v>
      </c>
      <c r="I307" s="115">
        <f>3.48*2.75</f>
        <v>9.57</v>
      </c>
      <c r="J307" s="115">
        <f>8.69*2.75</f>
        <v>23.9</v>
      </c>
      <c r="K307" s="115">
        <f>3.48*2.75</f>
        <v>9.57</v>
      </c>
      <c r="L307" s="115">
        <f>6.39*2.75+1.05*2.81</f>
        <v>20.52</v>
      </c>
      <c r="M307" s="115">
        <f>3.95*2.75+2.38*2.81</f>
        <v>17.55</v>
      </c>
      <c r="N307" s="104">
        <f>VLOOKUP(B307,'Форма КП'!$B$17:$G$25,5,FALSE)</f>
        <v>0</v>
      </c>
      <c r="O307" s="104">
        <f>N307*F307</f>
        <v>0</v>
      </c>
      <c r="P307" s="104"/>
      <c r="Q307" s="104"/>
      <c r="R307" s="104">
        <f>N307</f>
        <v>0</v>
      </c>
      <c r="S307" s="104">
        <f>N307*F307</f>
        <v>0</v>
      </c>
    </row>
    <row r="308" spans="1:19" x14ac:dyDescent="0.25">
      <c r="A308" s="132" t="s">
        <v>424</v>
      </c>
      <c r="B308" s="128" t="s">
        <v>524</v>
      </c>
      <c r="C308" s="133" t="s">
        <v>525</v>
      </c>
      <c r="D308" s="90">
        <v>2.25</v>
      </c>
      <c r="E308" s="132" t="s">
        <v>224</v>
      </c>
      <c r="F308" s="134">
        <f t="shared" si="166"/>
        <v>251.69</v>
      </c>
      <c r="G308" s="88">
        <f>G307*D308</f>
        <v>47.66</v>
      </c>
      <c r="H308" s="88">
        <f>H307*D308</f>
        <v>21.53</v>
      </c>
      <c r="I308" s="88">
        <f>I307*D308</f>
        <v>21.53</v>
      </c>
      <c r="J308" s="88">
        <f>J307*D308</f>
        <v>53.78</v>
      </c>
      <c r="K308" s="106">
        <f>K307*D308</f>
        <v>21.53</v>
      </c>
      <c r="L308" s="106">
        <f>L307*D308</f>
        <v>46.17</v>
      </c>
      <c r="M308" s="106">
        <f>M307*D308</f>
        <v>39.49</v>
      </c>
      <c r="N308" s="29"/>
      <c r="O308" s="29"/>
      <c r="P308" s="86">
        <f>VLOOKUP(B308,'Форма КП'!$B$27:$G$49,5,FALSE)</f>
        <v>0</v>
      </c>
      <c r="Q308" s="86">
        <f t="shared" ref="Q308:Q310" si="174">P308*F308</f>
        <v>0</v>
      </c>
      <c r="R308" s="32">
        <f t="shared" ref="R308:R310" si="175">P308</f>
        <v>0</v>
      </c>
      <c r="S308" s="32">
        <f t="shared" ref="S308:S310" si="176">P308*F308</f>
        <v>0</v>
      </c>
    </row>
    <row r="309" spans="1:19" x14ac:dyDescent="0.25">
      <c r="A309" s="132" t="s">
        <v>425</v>
      </c>
      <c r="B309" s="128" t="s">
        <v>477</v>
      </c>
      <c r="C309" s="133" t="s">
        <v>478</v>
      </c>
      <c r="D309" s="90">
        <v>0.86</v>
      </c>
      <c r="E309" s="132" t="s">
        <v>6</v>
      </c>
      <c r="F309" s="134">
        <f t="shared" si="166"/>
        <v>96.19</v>
      </c>
      <c r="G309" s="88">
        <f>G307*D309</f>
        <v>18.21</v>
      </c>
      <c r="H309" s="88">
        <f>H307*D309</f>
        <v>8.23</v>
      </c>
      <c r="I309" s="88">
        <f>I307*D309</f>
        <v>8.23</v>
      </c>
      <c r="J309" s="88">
        <f>J307*D309</f>
        <v>20.55</v>
      </c>
      <c r="K309" s="106">
        <f>K307*D309</f>
        <v>8.23</v>
      </c>
      <c r="L309" s="106">
        <f>L307*D309</f>
        <v>17.649999999999999</v>
      </c>
      <c r="M309" s="106">
        <f>M307*D309</f>
        <v>15.09</v>
      </c>
      <c r="N309" s="29"/>
      <c r="O309" s="29"/>
      <c r="P309" s="86">
        <f>VLOOKUP(B309,'Форма КП'!$B$27:$G$49,5,FALSE)</f>
        <v>0</v>
      </c>
      <c r="Q309" s="86">
        <f t="shared" si="174"/>
        <v>0</v>
      </c>
      <c r="R309" s="32">
        <f t="shared" si="175"/>
        <v>0</v>
      </c>
      <c r="S309" s="32">
        <f t="shared" si="176"/>
        <v>0</v>
      </c>
    </row>
    <row r="310" spans="1:19" x14ac:dyDescent="0.25">
      <c r="A310" s="132" t="s">
        <v>426</v>
      </c>
      <c r="B310" s="128" t="s">
        <v>479</v>
      </c>
      <c r="C310" s="133" t="s">
        <v>480</v>
      </c>
      <c r="D310" s="90">
        <v>2.34</v>
      </c>
      <c r="E310" s="132" t="s">
        <v>6</v>
      </c>
      <c r="F310" s="134">
        <f t="shared" si="166"/>
        <v>261.75</v>
      </c>
      <c r="G310" s="88">
        <f>G307*D310</f>
        <v>49.56</v>
      </c>
      <c r="H310" s="88">
        <f>H307*D310</f>
        <v>22.39</v>
      </c>
      <c r="I310" s="88">
        <f>I307*D310</f>
        <v>22.39</v>
      </c>
      <c r="J310" s="88">
        <f>J307*D310</f>
        <v>55.93</v>
      </c>
      <c r="K310" s="106">
        <f>K307*D310</f>
        <v>22.39</v>
      </c>
      <c r="L310" s="106">
        <f>L307*D310</f>
        <v>48.02</v>
      </c>
      <c r="M310" s="106">
        <f>M307*D310</f>
        <v>41.07</v>
      </c>
      <c r="N310" s="29"/>
      <c r="O310" s="29"/>
      <c r="P310" s="86">
        <f>VLOOKUP(B310,'Форма КП'!$B$27:$G$49,5,FALSE)</f>
        <v>0</v>
      </c>
      <c r="Q310" s="86">
        <f t="shared" si="174"/>
        <v>0</v>
      </c>
      <c r="R310" s="32">
        <f t="shared" si="175"/>
        <v>0</v>
      </c>
      <c r="S310" s="32">
        <f t="shared" si="176"/>
        <v>0</v>
      </c>
    </row>
    <row r="311" spans="1:19" x14ac:dyDescent="0.25">
      <c r="A311" s="119" t="s">
        <v>293</v>
      </c>
      <c r="B311" s="120"/>
      <c r="C311" s="121"/>
      <c r="D311" s="122"/>
      <c r="E311" s="123"/>
      <c r="F311" s="124"/>
      <c r="G311" s="125"/>
      <c r="H311" s="125"/>
      <c r="I311" s="125"/>
      <c r="J311" s="125"/>
      <c r="K311" s="125"/>
      <c r="L311" s="125"/>
      <c r="M311" s="125"/>
      <c r="N311" s="33"/>
      <c r="O311" s="33"/>
      <c r="P311" s="33"/>
      <c r="Q311" s="33"/>
      <c r="R311" s="33"/>
      <c r="S311" s="31"/>
    </row>
    <row r="312" spans="1:19" x14ac:dyDescent="0.25">
      <c r="A312" s="126" t="s">
        <v>223</v>
      </c>
      <c r="B312" s="120"/>
      <c r="C312" s="121"/>
      <c r="D312" s="122"/>
      <c r="E312" s="123"/>
      <c r="F312" s="124"/>
      <c r="G312" s="125"/>
      <c r="H312" s="125"/>
      <c r="I312" s="125"/>
      <c r="J312" s="125"/>
      <c r="K312" s="125"/>
      <c r="L312" s="125"/>
      <c r="M312" s="125"/>
      <c r="N312" s="33"/>
      <c r="O312" s="33"/>
      <c r="P312" s="33"/>
      <c r="Q312" s="33"/>
      <c r="R312" s="33"/>
      <c r="S312" s="31"/>
    </row>
    <row r="313" spans="1:19" ht="264" x14ac:dyDescent="0.25">
      <c r="A313" s="127" t="s">
        <v>427</v>
      </c>
      <c r="B313" s="128" t="s">
        <v>474</v>
      </c>
      <c r="C313" s="129" t="s">
        <v>782</v>
      </c>
      <c r="D313" s="130"/>
      <c r="E313" s="127" t="s">
        <v>224</v>
      </c>
      <c r="F313" s="131">
        <f t="shared" ref="F313:F338" si="177">SUM(G313:M313)</f>
        <v>187.58</v>
      </c>
      <c r="G313" s="113">
        <f>6.46*2.81-2.4*2.3+4.94*2.81</f>
        <v>26.51</v>
      </c>
      <c r="H313" s="113">
        <f>6.46*2.81-2.4*2.3+5.1*2.81</f>
        <v>26.96</v>
      </c>
      <c r="I313" s="113">
        <f>6.46*2.81-2.4*2.3+5.1*2.81</f>
        <v>26.96</v>
      </c>
      <c r="J313" s="113">
        <f>6.46*2.81-2.4*2.3+5.02*2.81</f>
        <v>26.74</v>
      </c>
      <c r="K313" s="113">
        <f>6.46*2.81-2.4*2.3+5.1*2.81</f>
        <v>26.96</v>
      </c>
      <c r="L313" s="113">
        <f>6.46*2.81-2.4*2.3+4.93*2.81</f>
        <v>26.49</v>
      </c>
      <c r="M313" s="113">
        <f>6.46*2.81-2.4*2.3+5.1*2.81</f>
        <v>26.96</v>
      </c>
      <c r="N313" s="104">
        <f>VLOOKUP(B313,'Форма КП'!$B$17:$G$25,5,FALSE)</f>
        <v>0</v>
      </c>
      <c r="O313" s="104">
        <f>N313*F313</f>
        <v>0</v>
      </c>
      <c r="P313" s="104"/>
      <c r="Q313" s="104"/>
      <c r="R313" s="104">
        <f>N313</f>
        <v>0</v>
      </c>
      <c r="S313" s="104">
        <f>N313*F313</f>
        <v>0</v>
      </c>
    </row>
    <row r="314" spans="1:19" x14ac:dyDescent="0.25">
      <c r="A314" s="132" t="s">
        <v>428</v>
      </c>
      <c r="B314" s="128" t="s">
        <v>475</v>
      </c>
      <c r="C314" s="133" t="s">
        <v>476</v>
      </c>
      <c r="D314" s="90">
        <v>2.25</v>
      </c>
      <c r="E314" s="132" t="s">
        <v>224</v>
      </c>
      <c r="F314" s="134">
        <f t="shared" si="177"/>
        <v>422.06</v>
      </c>
      <c r="G314" s="88">
        <f>G313*D314</f>
        <v>59.65</v>
      </c>
      <c r="H314" s="88">
        <f>H313*D314</f>
        <v>60.66</v>
      </c>
      <c r="I314" s="88">
        <f>I313*D314</f>
        <v>60.66</v>
      </c>
      <c r="J314" s="88">
        <f>J313*D314</f>
        <v>60.17</v>
      </c>
      <c r="K314" s="88">
        <f>K313*D314</f>
        <v>60.66</v>
      </c>
      <c r="L314" s="88">
        <f>L313*D314</f>
        <v>59.6</v>
      </c>
      <c r="M314" s="88">
        <f>M313*D314</f>
        <v>60.66</v>
      </c>
      <c r="N314" s="29"/>
      <c r="O314" s="29"/>
      <c r="P314" s="86">
        <f>VLOOKUP(B314,'Форма КП'!$B$27:$G$49,5,FALSE)</f>
        <v>0</v>
      </c>
      <c r="Q314" s="86">
        <f t="shared" ref="Q314:Q316" si="178">P314*F314</f>
        <v>0</v>
      </c>
      <c r="R314" s="32">
        <f t="shared" ref="R314:R316" si="179">P314</f>
        <v>0</v>
      </c>
      <c r="S314" s="32">
        <f t="shared" ref="S314:S316" si="180">P314*F314</f>
        <v>0</v>
      </c>
    </row>
    <row r="315" spans="1:19" x14ac:dyDescent="0.25">
      <c r="A315" s="132" t="s">
        <v>429</v>
      </c>
      <c r="B315" s="128" t="s">
        <v>477</v>
      </c>
      <c r="C315" s="133" t="s">
        <v>478</v>
      </c>
      <c r="D315" s="90">
        <v>0.86</v>
      </c>
      <c r="E315" s="132" t="s">
        <v>6</v>
      </c>
      <c r="F315" s="134">
        <f t="shared" si="177"/>
        <v>161.34</v>
      </c>
      <c r="G315" s="88">
        <f>G313*D315</f>
        <v>22.8</v>
      </c>
      <c r="H315" s="88">
        <f>H313*D315</f>
        <v>23.19</v>
      </c>
      <c r="I315" s="88">
        <f>I313*D315</f>
        <v>23.19</v>
      </c>
      <c r="J315" s="88">
        <f>J313*D315</f>
        <v>23</v>
      </c>
      <c r="K315" s="88">
        <f>K313*D315</f>
        <v>23.19</v>
      </c>
      <c r="L315" s="88">
        <f>L313*D315</f>
        <v>22.78</v>
      </c>
      <c r="M315" s="88">
        <f>M313*D315</f>
        <v>23.19</v>
      </c>
      <c r="N315" s="29"/>
      <c r="O315" s="29"/>
      <c r="P315" s="86">
        <f>VLOOKUP(B315,'Форма КП'!$B$27:$G$49,5,FALSE)</f>
        <v>0</v>
      </c>
      <c r="Q315" s="86">
        <f t="shared" si="178"/>
        <v>0</v>
      </c>
      <c r="R315" s="32">
        <f t="shared" si="179"/>
        <v>0</v>
      </c>
      <c r="S315" s="32">
        <f t="shared" si="180"/>
        <v>0</v>
      </c>
    </row>
    <row r="316" spans="1:19" x14ac:dyDescent="0.25">
      <c r="A316" s="132" t="s">
        <v>430</v>
      </c>
      <c r="B316" s="128" t="s">
        <v>479</v>
      </c>
      <c r="C316" s="133" t="s">
        <v>480</v>
      </c>
      <c r="D316" s="90">
        <v>2.34</v>
      </c>
      <c r="E316" s="132" t="s">
        <v>6</v>
      </c>
      <c r="F316" s="134">
        <f t="shared" si="177"/>
        <v>438.95</v>
      </c>
      <c r="G316" s="88">
        <f>G313*D316</f>
        <v>62.03</v>
      </c>
      <c r="H316" s="88">
        <f>H313*D316</f>
        <v>63.09</v>
      </c>
      <c r="I316" s="88">
        <f>I313*D316</f>
        <v>63.09</v>
      </c>
      <c r="J316" s="88">
        <f>J313*D316</f>
        <v>62.57</v>
      </c>
      <c r="K316" s="88">
        <f>K313*D316</f>
        <v>63.09</v>
      </c>
      <c r="L316" s="88">
        <f>L313*D316</f>
        <v>61.99</v>
      </c>
      <c r="M316" s="88">
        <f>M313*D316</f>
        <v>63.09</v>
      </c>
      <c r="N316" s="29"/>
      <c r="O316" s="29"/>
      <c r="P316" s="86">
        <f>VLOOKUP(B316,'Форма КП'!$B$27:$G$49,5,FALSE)</f>
        <v>0</v>
      </c>
      <c r="Q316" s="86">
        <f t="shared" si="178"/>
        <v>0</v>
      </c>
      <c r="R316" s="32">
        <f t="shared" si="179"/>
        <v>0</v>
      </c>
      <c r="S316" s="32">
        <f t="shared" si="180"/>
        <v>0</v>
      </c>
    </row>
    <row r="317" spans="1:19" ht="216" x14ac:dyDescent="0.25">
      <c r="A317" s="127" t="s">
        <v>431</v>
      </c>
      <c r="B317" s="128" t="s">
        <v>510</v>
      </c>
      <c r="C317" s="129" t="s">
        <v>776</v>
      </c>
      <c r="D317" s="130"/>
      <c r="E317" s="127" t="s">
        <v>224</v>
      </c>
      <c r="F317" s="131">
        <f t="shared" si="177"/>
        <v>767.22</v>
      </c>
      <c r="G317" s="113">
        <f>(64.23-2)*2.7-12.99*2.1-1.37*1.7</f>
        <v>138.41</v>
      </c>
      <c r="H317" s="113">
        <f>(45.78-2)*2.7-8.2*2.1-3.05*1.7</f>
        <v>95.8</v>
      </c>
      <c r="I317" s="113">
        <f>(45.78-2)*2.7-8.2*2.1-3.05*1.7</f>
        <v>95.8</v>
      </c>
      <c r="J317" s="113">
        <f>(58-2)*2.7-11.99*2.1-1.37*1.7</f>
        <v>123.69</v>
      </c>
      <c r="K317" s="113">
        <f>(45.79-2)*2.7-8.2*2.1-3.05*1.7</f>
        <v>95.83</v>
      </c>
      <c r="L317" s="113">
        <f>(55.94-2)*2.7-10.2*2.1-1.37*1.7</f>
        <v>121.89</v>
      </c>
      <c r="M317" s="113">
        <f>(45.78-2)*2.7-3.05*1.7-8.2*2.1</f>
        <v>95.8</v>
      </c>
      <c r="N317" s="104">
        <f>VLOOKUP(B317,'Форма КП'!$B$17:$G$25,5,FALSE)</f>
        <v>0</v>
      </c>
      <c r="O317" s="104">
        <f>N317*F317</f>
        <v>0</v>
      </c>
      <c r="P317" s="104"/>
      <c r="Q317" s="104"/>
      <c r="R317" s="104">
        <f>N317</f>
        <v>0</v>
      </c>
      <c r="S317" s="104">
        <f>N317*F317</f>
        <v>0</v>
      </c>
    </row>
    <row r="318" spans="1:19" x14ac:dyDescent="0.25">
      <c r="A318" s="132" t="s">
        <v>432</v>
      </c>
      <c r="B318" s="128" t="s">
        <v>486</v>
      </c>
      <c r="C318" s="133" t="s">
        <v>487</v>
      </c>
      <c r="D318" s="90">
        <v>1.45</v>
      </c>
      <c r="E318" s="132" t="s">
        <v>6</v>
      </c>
      <c r="F318" s="134">
        <f t="shared" si="177"/>
        <v>1112.46</v>
      </c>
      <c r="G318" s="88">
        <f>G317*D318</f>
        <v>200.69</v>
      </c>
      <c r="H318" s="88">
        <f>H317*D318</f>
        <v>138.91</v>
      </c>
      <c r="I318" s="88">
        <f>I317*D318</f>
        <v>138.91</v>
      </c>
      <c r="J318" s="88">
        <f>J317*D318</f>
        <v>179.35</v>
      </c>
      <c r="K318" s="88">
        <f>K317*D318</f>
        <v>138.94999999999999</v>
      </c>
      <c r="L318" s="88">
        <f>L317*D318</f>
        <v>176.74</v>
      </c>
      <c r="M318" s="88">
        <f>M317*D318</f>
        <v>138.91</v>
      </c>
      <c r="N318" s="29"/>
      <c r="O318" s="29"/>
      <c r="P318" s="86">
        <f>VLOOKUP(B318,'Форма КП'!$B$27:$G$49,5,FALSE)</f>
        <v>0</v>
      </c>
      <c r="Q318" s="86">
        <f t="shared" ref="Q318" si="181">P318*F318</f>
        <v>0</v>
      </c>
      <c r="R318" s="32">
        <f t="shared" ref="R318:R320" si="182">P318</f>
        <v>0</v>
      </c>
      <c r="S318" s="32">
        <f t="shared" ref="S318" si="183">P318*F318</f>
        <v>0</v>
      </c>
    </row>
    <row r="319" spans="1:19" x14ac:dyDescent="0.25">
      <c r="A319" s="132" t="s">
        <v>433</v>
      </c>
      <c r="B319" s="128" t="s">
        <v>488</v>
      </c>
      <c r="C319" s="133" t="s">
        <v>489</v>
      </c>
      <c r="D319" s="90">
        <v>0.2</v>
      </c>
      <c r="E319" s="132" t="s">
        <v>228</v>
      </c>
      <c r="F319" s="134">
        <f t="shared" si="177"/>
        <v>155.61000000000001</v>
      </c>
      <c r="G319" s="88">
        <f>((64.23-2)*2.7-12.99*2.1-1.37*1.7)*D319</f>
        <v>27.68</v>
      </c>
      <c r="H319" s="88">
        <f>(45.78*2.7-8.2*2.1-3.05*1.7)*D319</f>
        <v>20.239999999999998</v>
      </c>
      <c r="I319" s="88">
        <f>(45.78*2.7-8.2*2.1-3.05*1.7)*D319</f>
        <v>20.239999999999998</v>
      </c>
      <c r="J319" s="88">
        <f>((58-2)*2.7-11.99*2.1-1.37*1.7)*D319</f>
        <v>24.74</v>
      </c>
      <c r="K319" s="88">
        <f>((45.79-2)*2.7-8.2*2.1-3.05*1.7)*D319</f>
        <v>19.170000000000002</v>
      </c>
      <c r="L319" s="88">
        <f>((55.94-2)*2.7-10.2*2.1-1.37*1.7)*D319</f>
        <v>24.38</v>
      </c>
      <c r="M319" s="88">
        <f>((45.78-2)*2.7-3.05*1.7-8.2*2.1)*D319</f>
        <v>19.16</v>
      </c>
      <c r="N319" s="29"/>
      <c r="O319" s="29"/>
      <c r="P319" s="49" t="str">
        <f>VLOOKUP(B319,'Форма КП'!$B$27:$G$49,5,FALSE)</f>
        <v>Материал заказчика</v>
      </c>
      <c r="Q319" s="50"/>
      <c r="R319" s="49" t="str">
        <f t="shared" si="182"/>
        <v>Материал заказчика</v>
      </c>
      <c r="S319" s="50"/>
    </row>
    <row r="320" spans="1:19" x14ac:dyDescent="0.25">
      <c r="A320" s="132" t="s">
        <v>434</v>
      </c>
      <c r="B320" s="128" t="s">
        <v>511</v>
      </c>
      <c r="C320" s="133" t="s">
        <v>512</v>
      </c>
      <c r="D320" s="90">
        <v>16</v>
      </c>
      <c r="E320" s="132" t="s">
        <v>228</v>
      </c>
      <c r="F320" s="134">
        <f t="shared" si="177"/>
        <v>12275.52</v>
      </c>
      <c r="G320" s="88">
        <f>G317*D320</f>
        <v>2214.56</v>
      </c>
      <c r="H320" s="88">
        <f>H317*D320</f>
        <v>1532.8</v>
      </c>
      <c r="I320" s="88">
        <f>I317*D320</f>
        <v>1532.8</v>
      </c>
      <c r="J320" s="88">
        <f>J317*D320</f>
        <v>1979.04</v>
      </c>
      <c r="K320" s="88">
        <f>K317*D320</f>
        <v>1533.28</v>
      </c>
      <c r="L320" s="88">
        <f>L317*D320</f>
        <v>1950.24</v>
      </c>
      <c r="M320" s="88">
        <f>M317*D320</f>
        <v>1532.8</v>
      </c>
      <c r="N320" s="29"/>
      <c r="O320" s="29"/>
      <c r="P320" s="49" t="str">
        <f>VLOOKUP(B320,'Форма КП'!$B$27:$G$49,5,FALSE)</f>
        <v>Материал заказчика</v>
      </c>
      <c r="Q320" s="50"/>
      <c r="R320" s="49" t="str">
        <f t="shared" si="182"/>
        <v>Материал заказчика</v>
      </c>
      <c r="S320" s="50"/>
    </row>
    <row r="321" spans="1:19" ht="216" x14ac:dyDescent="0.25">
      <c r="A321" s="127" t="s">
        <v>435</v>
      </c>
      <c r="B321" s="128" t="s">
        <v>510</v>
      </c>
      <c r="C321" s="129" t="s">
        <v>776</v>
      </c>
      <c r="D321" s="130"/>
      <c r="E321" s="127" t="s">
        <v>224</v>
      </c>
      <c r="F321" s="131">
        <f t="shared" si="177"/>
        <v>183.61</v>
      </c>
      <c r="G321" s="113">
        <f>12.7*2.7-2*2.1</f>
        <v>30.09</v>
      </c>
      <c r="H321" s="113">
        <f>10.8*2.7-2*2.1</f>
        <v>24.96</v>
      </c>
      <c r="I321" s="113">
        <f>10.8*2.7-2*2.1</f>
        <v>24.96</v>
      </c>
      <c r="J321" s="113">
        <f>13.21*2.7-2*2.1</f>
        <v>31.47</v>
      </c>
      <c r="K321" s="113">
        <f>10.8*2.7-2*2.1</f>
        <v>24.96</v>
      </c>
      <c r="L321" s="113">
        <f>9.78*2.7-2*2.1</f>
        <v>22.21</v>
      </c>
      <c r="M321" s="113">
        <f>10.8*2.7-2*2.1</f>
        <v>24.96</v>
      </c>
      <c r="N321" s="104">
        <f>VLOOKUP(B321,'Форма КП'!$B$17:$G$25,5,FALSE)</f>
        <v>0</v>
      </c>
      <c r="O321" s="104">
        <f>N321*F321</f>
        <v>0</v>
      </c>
      <c r="P321" s="104"/>
      <c r="Q321" s="104"/>
      <c r="R321" s="104">
        <f>N321</f>
        <v>0</v>
      </c>
      <c r="S321" s="104">
        <f>N321*F321</f>
        <v>0</v>
      </c>
    </row>
    <row r="322" spans="1:19" x14ac:dyDescent="0.25">
      <c r="A322" s="132" t="s">
        <v>436</v>
      </c>
      <c r="B322" s="128" t="s">
        <v>486</v>
      </c>
      <c r="C322" s="133" t="s">
        <v>487</v>
      </c>
      <c r="D322" s="90">
        <v>1.45</v>
      </c>
      <c r="E322" s="132" t="s">
        <v>6</v>
      </c>
      <c r="F322" s="134">
        <f t="shared" si="177"/>
        <v>266.22000000000003</v>
      </c>
      <c r="G322" s="88">
        <f>G321*D322</f>
        <v>43.63</v>
      </c>
      <c r="H322" s="88">
        <f>H321*D322</f>
        <v>36.19</v>
      </c>
      <c r="I322" s="88">
        <f>I321*D322</f>
        <v>36.19</v>
      </c>
      <c r="J322" s="88">
        <f>J321*D322</f>
        <v>45.63</v>
      </c>
      <c r="K322" s="88">
        <f>K321*D322</f>
        <v>36.19</v>
      </c>
      <c r="L322" s="88">
        <f>L321*D322</f>
        <v>32.200000000000003</v>
      </c>
      <c r="M322" s="88">
        <f>M321*D322</f>
        <v>36.19</v>
      </c>
      <c r="N322" s="29"/>
      <c r="O322" s="29"/>
      <c r="P322" s="86">
        <f>VLOOKUP(B322,'Форма КП'!$B$27:$G$49,5,FALSE)</f>
        <v>0</v>
      </c>
      <c r="Q322" s="86">
        <f t="shared" ref="Q322" si="184">P322*F322</f>
        <v>0</v>
      </c>
      <c r="R322" s="32">
        <f t="shared" ref="R322:R324" si="185">P322</f>
        <v>0</v>
      </c>
      <c r="S322" s="32">
        <f t="shared" ref="S322" si="186">P322*F322</f>
        <v>0</v>
      </c>
    </row>
    <row r="323" spans="1:19" x14ac:dyDescent="0.25">
      <c r="A323" s="132" t="s">
        <v>437</v>
      </c>
      <c r="B323" s="128" t="s">
        <v>484</v>
      </c>
      <c r="C323" s="133" t="s">
        <v>225</v>
      </c>
      <c r="D323" s="90">
        <v>0.4</v>
      </c>
      <c r="E323" s="132" t="s">
        <v>226</v>
      </c>
      <c r="F323" s="134">
        <f t="shared" si="177"/>
        <v>73.430000000000007</v>
      </c>
      <c r="G323" s="88">
        <f>(12.7*2.7-2*2.1)*D323</f>
        <v>12.04</v>
      </c>
      <c r="H323" s="88">
        <f>(10.8*2.7-2*2.1)*D323</f>
        <v>9.98</v>
      </c>
      <c r="I323" s="88">
        <f>(10.8*2.7-2*2.1)*D323</f>
        <v>9.98</v>
      </c>
      <c r="J323" s="88">
        <f>(13.21*2.7-2*2.1)*D323</f>
        <v>12.59</v>
      </c>
      <c r="K323" s="88">
        <f>(10.8*2.7-2*2.1)*D323</f>
        <v>9.98</v>
      </c>
      <c r="L323" s="88">
        <f>(9.78*2.7-2*2.1)*D323</f>
        <v>8.8800000000000008</v>
      </c>
      <c r="M323" s="88">
        <f>(10.8*2.7-2*2.1)*D323</f>
        <v>9.98</v>
      </c>
      <c r="N323" s="29"/>
      <c r="O323" s="29"/>
      <c r="P323" s="49" t="str">
        <f>VLOOKUP(B323,'Форма КП'!$B$27:$G$49,5,FALSE)</f>
        <v>Материал заказчика</v>
      </c>
      <c r="Q323" s="50"/>
      <c r="R323" s="49" t="str">
        <f t="shared" si="185"/>
        <v>Материал заказчика</v>
      </c>
      <c r="S323" s="50"/>
    </row>
    <row r="324" spans="1:19" x14ac:dyDescent="0.25">
      <c r="A324" s="132" t="s">
        <v>438</v>
      </c>
      <c r="B324" s="128" t="s">
        <v>511</v>
      </c>
      <c r="C324" s="133" t="s">
        <v>512</v>
      </c>
      <c r="D324" s="90">
        <v>16</v>
      </c>
      <c r="E324" s="132" t="s">
        <v>228</v>
      </c>
      <c r="F324" s="134">
        <f t="shared" si="177"/>
        <v>2937.76</v>
      </c>
      <c r="G324" s="88">
        <f>G321*D324</f>
        <v>481.44</v>
      </c>
      <c r="H324" s="88">
        <f>H321*D324</f>
        <v>399.36</v>
      </c>
      <c r="I324" s="88">
        <f>I321*D324</f>
        <v>399.36</v>
      </c>
      <c r="J324" s="88">
        <f>J321*D324</f>
        <v>503.52</v>
      </c>
      <c r="K324" s="88">
        <f>K321*D324</f>
        <v>399.36</v>
      </c>
      <c r="L324" s="88">
        <f>L321*D324</f>
        <v>355.36</v>
      </c>
      <c r="M324" s="88">
        <f>M321*D324</f>
        <v>399.36</v>
      </c>
      <c r="N324" s="29"/>
      <c r="O324" s="29"/>
      <c r="P324" s="49" t="str">
        <f>VLOOKUP(B324,'Форма КП'!$B$27:$G$49,5,FALSE)</f>
        <v>Материал заказчика</v>
      </c>
      <c r="Q324" s="50"/>
      <c r="R324" s="49" t="str">
        <f t="shared" si="185"/>
        <v>Материал заказчика</v>
      </c>
      <c r="S324" s="50"/>
    </row>
    <row r="325" spans="1:19" ht="120" x14ac:dyDescent="0.25">
      <c r="A325" s="127" t="s">
        <v>439</v>
      </c>
      <c r="B325" s="128" t="s">
        <v>513</v>
      </c>
      <c r="C325" s="129" t="s">
        <v>777</v>
      </c>
      <c r="D325" s="130"/>
      <c r="E325" s="127" t="s">
        <v>224</v>
      </c>
      <c r="F325" s="131">
        <f t="shared" si="177"/>
        <v>669.66</v>
      </c>
      <c r="G325" s="115">
        <f>(59.41-2)*2.7-13.69*2.1</f>
        <v>126.26</v>
      </c>
      <c r="H325" s="115">
        <f>(39.06-2)*2.7-8.9*2.1-1.37*1.7</f>
        <v>79.040000000000006</v>
      </c>
      <c r="I325" s="115">
        <f>(39.06-2)*2.7-8.9*2.1-1.37*1.7</f>
        <v>79.040000000000006</v>
      </c>
      <c r="J325" s="115">
        <f>52.31*2.7-12.69*2.1</f>
        <v>114.59</v>
      </c>
      <c r="K325" s="115">
        <f>39.06*2.7-8.9*2.1-1.37*1.7</f>
        <v>84.44</v>
      </c>
      <c r="L325" s="115">
        <f>48.2*2.7-10.9*2.1</f>
        <v>107.25</v>
      </c>
      <c r="M325" s="115">
        <f>(39.06-2)*2.7-8.9*2.1-1.37*1.7</f>
        <v>79.040000000000006</v>
      </c>
      <c r="N325" s="104">
        <f>VLOOKUP(B325,'Форма КП'!$B$17:$G$25,5,FALSE)</f>
        <v>0</v>
      </c>
      <c r="O325" s="104">
        <f>N325*F325</f>
        <v>0</v>
      </c>
      <c r="P325" s="104"/>
      <c r="Q325" s="104"/>
      <c r="R325" s="104">
        <f>N325</f>
        <v>0</v>
      </c>
      <c r="S325" s="104">
        <f>N325*F325</f>
        <v>0</v>
      </c>
    </row>
    <row r="326" spans="1:19" x14ac:dyDescent="0.25">
      <c r="A326" s="132" t="s">
        <v>440</v>
      </c>
      <c r="B326" s="128" t="s">
        <v>484</v>
      </c>
      <c r="C326" s="133" t="s">
        <v>225</v>
      </c>
      <c r="D326" s="90">
        <v>0.15</v>
      </c>
      <c r="E326" s="132" t="s">
        <v>226</v>
      </c>
      <c r="F326" s="134">
        <f t="shared" si="177"/>
        <v>100.47</v>
      </c>
      <c r="G326" s="88">
        <f>G325*D326</f>
        <v>18.940000000000001</v>
      </c>
      <c r="H326" s="88">
        <f>H325*D326</f>
        <v>11.86</v>
      </c>
      <c r="I326" s="88">
        <f>I325*D326</f>
        <v>11.86</v>
      </c>
      <c r="J326" s="88">
        <f>J325*D326</f>
        <v>17.190000000000001</v>
      </c>
      <c r="K326" s="88">
        <f>K325*D326</f>
        <v>12.67</v>
      </c>
      <c r="L326" s="88">
        <f>L325*D326</f>
        <v>16.09</v>
      </c>
      <c r="M326" s="88">
        <f>M325*D326</f>
        <v>11.86</v>
      </c>
      <c r="N326" s="29"/>
      <c r="O326" s="29"/>
      <c r="P326" s="49" t="str">
        <f>VLOOKUP(B326,'Форма КП'!$B$27:$G$49,5,FALSE)</f>
        <v>Материал заказчика</v>
      </c>
      <c r="Q326" s="50"/>
      <c r="R326" s="49" t="str">
        <f t="shared" ref="R326:R327" si="187">P326</f>
        <v>Материал заказчика</v>
      </c>
      <c r="S326" s="50"/>
    </row>
    <row r="327" spans="1:19" x14ac:dyDescent="0.25">
      <c r="A327" s="132" t="s">
        <v>441</v>
      </c>
      <c r="B327" s="128" t="s">
        <v>514</v>
      </c>
      <c r="C327" s="133" t="s">
        <v>515</v>
      </c>
      <c r="D327" s="90">
        <v>5</v>
      </c>
      <c r="E327" s="132" t="s">
        <v>228</v>
      </c>
      <c r="F327" s="134">
        <f t="shared" si="177"/>
        <v>3348.3</v>
      </c>
      <c r="G327" s="88">
        <f>G325*D327</f>
        <v>631.29999999999995</v>
      </c>
      <c r="H327" s="88">
        <f>H325*D327</f>
        <v>395.2</v>
      </c>
      <c r="I327" s="88">
        <f>I325*D327</f>
        <v>395.2</v>
      </c>
      <c r="J327" s="88">
        <f>J325*D327</f>
        <v>572.95000000000005</v>
      </c>
      <c r="K327" s="88">
        <f>K325*D327</f>
        <v>422.2</v>
      </c>
      <c r="L327" s="88">
        <f>L325*D327</f>
        <v>536.25</v>
      </c>
      <c r="M327" s="88">
        <f>M325*D327</f>
        <v>395.2</v>
      </c>
      <c r="N327" s="29"/>
      <c r="O327" s="29"/>
      <c r="P327" s="49" t="str">
        <f>VLOOKUP(B327,'Форма КП'!$B$27:$G$49,5,FALSE)</f>
        <v>Материал заказчика</v>
      </c>
      <c r="Q327" s="50"/>
      <c r="R327" s="49" t="str">
        <f t="shared" si="187"/>
        <v>Материал заказчика</v>
      </c>
      <c r="S327" s="50"/>
    </row>
    <row r="328" spans="1:19" ht="156" x14ac:dyDescent="0.25">
      <c r="A328" s="127" t="s">
        <v>442</v>
      </c>
      <c r="B328" s="128" t="s">
        <v>493</v>
      </c>
      <c r="C328" s="129" t="s">
        <v>780</v>
      </c>
      <c r="D328" s="130"/>
      <c r="E328" s="127" t="s">
        <v>224</v>
      </c>
      <c r="F328" s="131">
        <f t="shared" si="177"/>
        <v>14.4</v>
      </c>
      <c r="G328" s="112">
        <f>0.2*2*6</f>
        <v>2.4</v>
      </c>
      <c r="H328" s="112">
        <f t="shared" ref="H328:M328" si="188">0.2*2*5</f>
        <v>2</v>
      </c>
      <c r="I328" s="112">
        <f t="shared" si="188"/>
        <v>2</v>
      </c>
      <c r="J328" s="112">
        <f t="shared" si="188"/>
        <v>2</v>
      </c>
      <c r="K328" s="112">
        <f t="shared" si="188"/>
        <v>2</v>
      </c>
      <c r="L328" s="112">
        <f t="shared" si="188"/>
        <v>2</v>
      </c>
      <c r="M328" s="112">
        <f t="shared" si="188"/>
        <v>2</v>
      </c>
      <c r="N328" s="104">
        <f>VLOOKUP(B328,'Форма КП'!$B$17:$G$25,5,FALSE)</f>
        <v>0</v>
      </c>
      <c r="O328" s="104">
        <f>N328*F328</f>
        <v>0</v>
      </c>
      <c r="P328" s="104"/>
      <c r="Q328" s="104"/>
      <c r="R328" s="104">
        <f>N328</f>
        <v>0</v>
      </c>
      <c r="S328" s="104">
        <f>N328*F328</f>
        <v>0</v>
      </c>
    </row>
    <row r="329" spans="1:19" x14ac:dyDescent="0.25">
      <c r="A329" s="132" t="s">
        <v>444</v>
      </c>
      <c r="B329" s="128" t="s">
        <v>484</v>
      </c>
      <c r="C329" s="133" t="s">
        <v>225</v>
      </c>
      <c r="D329" s="90">
        <v>0.15</v>
      </c>
      <c r="E329" s="132" t="s">
        <v>226</v>
      </c>
      <c r="F329" s="134">
        <f t="shared" si="177"/>
        <v>2.16</v>
      </c>
      <c r="G329" s="88">
        <f>G328*D329</f>
        <v>0.36</v>
      </c>
      <c r="H329" s="88">
        <f>H328*D329</f>
        <v>0.3</v>
      </c>
      <c r="I329" s="88">
        <f>I328*D329</f>
        <v>0.3</v>
      </c>
      <c r="J329" s="88">
        <f>J328*D329</f>
        <v>0.3</v>
      </c>
      <c r="K329" s="88">
        <f>K328*D329</f>
        <v>0.3</v>
      </c>
      <c r="L329" s="88">
        <f>L328*D329</f>
        <v>0.3</v>
      </c>
      <c r="M329" s="88">
        <f>M328*D329</f>
        <v>0.3</v>
      </c>
      <c r="N329" s="29"/>
      <c r="O329" s="29"/>
      <c r="P329" s="49" t="str">
        <f>VLOOKUP(B329,'Форма КП'!$B$27:$G$49,5,FALSE)</f>
        <v>Материал заказчика</v>
      </c>
      <c r="Q329" s="50"/>
      <c r="R329" s="49" t="str">
        <f t="shared" ref="R329:R332" si="189">P329</f>
        <v>Материал заказчика</v>
      </c>
      <c r="S329" s="50"/>
    </row>
    <row r="330" spans="1:19" x14ac:dyDescent="0.25">
      <c r="A330" s="132" t="s">
        <v>445</v>
      </c>
      <c r="B330" s="128" t="s">
        <v>496</v>
      </c>
      <c r="C330" s="133" t="s">
        <v>227</v>
      </c>
      <c r="D330" s="90">
        <v>10</v>
      </c>
      <c r="E330" s="132" t="s">
        <v>228</v>
      </c>
      <c r="F330" s="134">
        <f t="shared" si="177"/>
        <v>144</v>
      </c>
      <c r="G330" s="88">
        <f>G328*D330</f>
        <v>24</v>
      </c>
      <c r="H330" s="88">
        <f>H328*D330</f>
        <v>20</v>
      </c>
      <c r="I330" s="88">
        <f>I328*D330</f>
        <v>20</v>
      </c>
      <c r="J330" s="88">
        <f>J328*D330</f>
        <v>20</v>
      </c>
      <c r="K330" s="88">
        <f>K328*D330</f>
        <v>20</v>
      </c>
      <c r="L330" s="88">
        <f>L328*D330</f>
        <v>20</v>
      </c>
      <c r="M330" s="88">
        <f>M328*D330</f>
        <v>20</v>
      </c>
      <c r="N330" s="29"/>
      <c r="O330" s="29"/>
      <c r="P330" s="49" t="str">
        <f>VLOOKUP(B330,'Форма КП'!$B$27:$G$49,5,FALSE)</f>
        <v>Материал заказчика</v>
      </c>
      <c r="Q330" s="50"/>
      <c r="R330" s="49" t="str">
        <f t="shared" si="189"/>
        <v>Материал заказчика</v>
      </c>
      <c r="S330" s="50"/>
    </row>
    <row r="331" spans="1:19" x14ac:dyDescent="0.25">
      <c r="A331" s="132" t="s">
        <v>446</v>
      </c>
      <c r="B331" s="128" t="s">
        <v>523</v>
      </c>
      <c r="C331" s="133" t="s">
        <v>229</v>
      </c>
      <c r="D331" s="90">
        <v>0.2</v>
      </c>
      <c r="E331" s="132" t="s">
        <v>228</v>
      </c>
      <c r="F331" s="134">
        <f t="shared" si="177"/>
        <v>2.88</v>
      </c>
      <c r="G331" s="88">
        <f>G328*D331</f>
        <v>0.48</v>
      </c>
      <c r="H331" s="88">
        <f>H328*D331</f>
        <v>0.4</v>
      </c>
      <c r="I331" s="88">
        <f>I328*D331</f>
        <v>0.4</v>
      </c>
      <c r="J331" s="88">
        <f>J328*D331</f>
        <v>0.4</v>
      </c>
      <c r="K331" s="88">
        <f>K328*D331</f>
        <v>0.4</v>
      </c>
      <c r="L331" s="88">
        <f>L328*D331</f>
        <v>0.4</v>
      </c>
      <c r="M331" s="88">
        <f>M328*D331</f>
        <v>0.4</v>
      </c>
      <c r="N331" s="29"/>
      <c r="O331" s="29"/>
      <c r="P331" s="49" t="str">
        <f>VLOOKUP(B331,'Форма КП'!$B$27:$G$49,5,FALSE)</f>
        <v>Материал заказчика</v>
      </c>
      <c r="Q331" s="50"/>
      <c r="R331" s="49" t="str">
        <f t="shared" si="189"/>
        <v>Материал заказчика</v>
      </c>
      <c r="S331" s="50"/>
    </row>
    <row r="332" spans="1:19" x14ac:dyDescent="0.25">
      <c r="A332" s="132" t="s">
        <v>447</v>
      </c>
      <c r="B332" s="128" t="s">
        <v>501</v>
      </c>
      <c r="C332" s="133" t="s">
        <v>502</v>
      </c>
      <c r="D332" s="90">
        <v>1.05</v>
      </c>
      <c r="E332" s="132" t="s">
        <v>224</v>
      </c>
      <c r="F332" s="134">
        <f t="shared" si="177"/>
        <v>15.12</v>
      </c>
      <c r="G332" s="88">
        <f>G328*D332</f>
        <v>2.52</v>
      </c>
      <c r="H332" s="88">
        <f>H328*D332</f>
        <v>2.1</v>
      </c>
      <c r="I332" s="88">
        <f>I328*D332</f>
        <v>2.1</v>
      </c>
      <c r="J332" s="88">
        <f>J328*D332</f>
        <v>2.1</v>
      </c>
      <c r="K332" s="88">
        <f>K328*D332</f>
        <v>2.1</v>
      </c>
      <c r="L332" s="88">
        <f>L328*D332</f>
        <v>2.1</v>
      </c>
      <c r="M332" s="88">
        <f>M328*D332</f>
        <v>2.1</v>
      </c>
      <c r="N332" s="29"/>
      <c r="O332" s="29"/>
      <c r="P332" s="49" t="str">
        <f>VLOOKUP(B332,'Форма КП'!$B$27:$G$49,5,FALSE)</f>
        <v>Материал заказчика</v>
      </c>
      <c r="Q332" s="50"/>
      <c r="R332" s="49" t="str">
        <f t="shared" si="189"/>
        <v>Материал заказчика</v>
      </c>
      <c r="S332" s="50"/>
    </row>
    <row r="333" spans="1:19" ht="108" x14ac:dyDescent="0.25">
      <c r="A333" s="127" t="s">
        <v>448</v>
      </c>
      <c r="B333" s="128" t="s">
        <v>505</v>
      </c>
      <c r="C333" s="129" t="s">
        <v>779</v>
      </c>
      <c r="D333" s="130"/>
      <c r="E333" s="127" t="s">
        <v>224</v>
      </c>
      <c r="F333" s="131">
        <f t="shared" si="177"/>
        <v>247.76</v>
      </c>
      <c r="G333" s="113">
        <v>35.69</v>
      </c>
      <c r="H333" s="113">
        <v>35.18</v>
      </c>
      <c r="I333" s="113">
        <v>35.18</v>
      </c>
      <c r="J333" s="113">
        <v>35.659999999999997</v>
      </c>
      <c r="K333" s="113">
        <v>35.18</v>
      </c>
      <c r="L333" s="113">
        <v>35.69</v>
      </c>
      <c r="M333" s="113">
        <v>35.18</v>
      </c>
      <c r="N333" s="104">
        <f>VLOOKUP(B333,'Форма КП'!$B$17:$G$25,5,FALSE)</f>
        <v>0</v>
      </c>
      <c r="O333" s="104">
        <f>N333*F333</f>
        <v>0</v>
      </c>
      <c r="P333" s="104"/>
      <c r="Q333" s="104"/>
      <c r="R333" s="104">
        <f>N333</f>
        <v>0</v>
      </c>
      <c r="S333" s="104">
        <f>N333*F333</f>
        <v>0</v>
      </c>
    </row>
    <row r="334" spans="1:19" x14ac:dyDescent="0.25">
      <c r="A334" s="132" t="s">
        <v>449</v>
      </c>
      <c r="B334" s="128" t="s">
        <v>484</v>
      </c>
      <c r="C334" s="133" t="s">
        <v>225</v>
      </c>
      <c r="D334" s="90">
        <v>0.15</v>
      </c>
      <c r="E334" s="132" t="s">
        <v>226</v>
      </c>
      <c r="F334" s="134">
        <f t="shared" si="177"/>
        <v>37.17</v>
      </c>
      <c r="G334" s="88">
        <f>G333*D334</f>
        <v>5.35</v>
      </c>
      <c r="H334" s="88">
        <f>H333*D334</f>
        <v>5.28</v>
      </c>
      <c r="I334" s="88">
        <f>I333*D334</f>
        <v>5.28</v>
      </c>
      <c r="J334" s="88">
        <f>J333*D334</f>
        <v>5.35</v>
      </c>
      <c r="K334" s="88">
        <f>K333*D334</f>
        <v>5.28</v>
      </c>
      <c r="L334" s="88">
        <f>L333*D334</f>
        <v>5.35</v>
      </c>
      <c r="M334" s="88">
        <f>M333*D334</f>
        <v>5.28</v>
      </c>
      <c r="N334" s="29"/>
      <c r="O334" s="29"/>
      <c r="P334" s="49" t="str">
        <f>VLOOKUP(B334,'Форма КП'!$B$27:$G$49,5,FALSE)</f>
        <v>Материал заказчика</v>
      </c>
      <c r="Q334" s="50"/>
      <c r="R334" s="49" t="str">
        <f t="shared" ref="R334:R335" si="190">P334</f>
        <v>Материал заказчика</v>
      </c>
      <c r="S334" s="50"/>
    </row>
    <row r="335" spans="1:19" ht="24" x14ac:dyDescent="0.25">
      <c r="A335" s="132" t="s">
        <v>450</v>
      </c>
      <c r="B335" s="128" t="s">
        <v>506</v>
      </c>
      <c r="C335" s="133" t="s">
        <v>507</v>
      </c>
      <c r="D335" s="90">
        <v>0.25</v>
      </c>
      <c r="E335" s="132" t="s">
        <v>226</v>
      </c>
      <c r="F335" s="134">
        <f t="shared" si="177"/>
        <v>61.96</v>
      </c>
      <c r="G335" s="88">
        <f>G333*D335</f>
        <v>8.92</v>
      </c>
      <c r="H335" s="88">
        <f>H333*D335</f>
        <v>8.8000000000000007</v>
      </c>
      <c r="I335" s="88">
        <f>I333*D335</f>
        <v>8.8000000000000007</v>
      </c>
      <c r="J335" s="88">
        <f>J333*D335</f>
        <v>8.92</v>
      </c>
      <c r="K335" s="88">
        <f>K333*D335</f>
        <v>8.8000000000000007</v>
      </c>
      <c r="L335" s="88">
        <f>L333*D335</f>
        <v>8.92</v>
      </c>
      <c r="M335" s="88">
        <f>M333*D335</f>
        <v>8.8000000000000007</v>
      </c>
      <c r="N335" s="29"/>
      <c r="O335" s="29"/>
      <c r="P335" s="49" t="str">
        <f>VLOOKUP(B335,'Форма КП'!$B$27:$G$49,5,FALSE)</f>
        <v>Материал заказчика</v>
      </c>
      <c r="Q335" s="50"/>
      <c r="R335" s="49" t="str">
        <f t="shared" si="190"/>
        <v>Материал заказчика</v>
      </c>
      <c r="S335" s="50"/>
    </row>
    <row r="336" spans="1:19" ht="108" x14ac:dyDescent="0.25">
      <c r="A336" s="127" t="s">
        <v>451</v>
      </c>
      <c r="B336" s="128" t="s">
        <v>505</v>
      </c>
      <c r="C336" s="129" t="s">
        <v>779</v>
      </c>
      <c r="D336" s="130"/>
      <c r="E336" s="127" t="s">
        <v>224</v>
      </c>
      <c r="F336" s="131">
        <f t="shared" si="177"/>
        <v>45.92</v>
      </c>
      <c r="G336" s="113">
        <f t="shared" ref="G336:M336" si="191">2.43*2.7</f>
        <v>6.56</v>
      </c>
      <c r="H336" s="113">
        <f t="shared" si="191"/>
        <v>6.56</v>
      </c>
      <c r="I336" s="113">
        <f t="shared" si="191"/>
        <v>6.56</v>
      </c>
      <c r="J336" s="113">
        <f t="shared" si="191"/>
        <v>6.56</v>
      </c>
      <c r="K336" s="113">
        <f t="shared" si="191"/>
        <v>6.56</v>
      </c>
      <c r="L336" s="113">
        <f t="shared" si="191"/>
        <v>6.56</v>
      </c>
      <c r="M336" s="113">
        <f t="shared" si="191"/>
        <v>6.56</v>
      </c>
      <c r="N336" s="104">
        <f>VLOOKUP(B336,'Форма КП'!$B$17:$G$25,5,FALSE)</f>
        <v>0</v>
      </c>
      <c r="O336" s="104">
        <f>N336*F336</f>
        <v>0</v>
      </c>
      <c r="P336" s="104"/>
      <c r="Q336" s="104"/>
      <c r="R336" s="104">
        <f>N336</f>
        <v>0</v>
      </c>
      <c r="S336" s="104">
        <f>N336*F336</f>
        <v>0</v>
      </c>
    </row>
    <row r="337" spans="1:19" x14ac:dyDescent="0.25">
      <c r="A337" s="132" t="s">
        <v>452</v>
      </c>
      <c r="B337" s="128" t="s">
        <v>484</v>
      </c>
      <c r="C337" s="133" t="s">
        <v>225</v>
      </c>
      <c r="D337" s="90">
        <v>0.15</v>
      </c>
      <c r="E337" s="132" t="s">
        <v>226</v>
      </c>
      <c r="F337" s="134">
        <f t="shared" si="177"/>
        <v>6.86</v>
      </c>
      <c r="G337" s="88">
        <f>G336*D337</f>
        <v>0.98</v>
      </c>
      <c r="H337" s="88">
        <f>H336*D337</f>
        <v>0.98</v>
      </c>
      <c r="I337" s="88">
        <f>I336*D337</f>
        <v>0.98</v>
      </c>
      <c r="J337" s="88">
        <f>J336*D337</f>
        <v>0.98</v>
      </c>
      <c r="K337" s="88">
        <f>K336*D337</f>
        <v>0.98</v>
      </c>
      <c r="L337" s="88">
        <f>L336*D337</f>
        <v>0.98</v>
      </c>
      <c r="M337" s="88">
        <f>M336*D337</f>
        <v>0.98</v>
      </c>
      <c r="N337" s="29"/>
      <c r="O337" s="29"/>
      <c r="P337" s="49" t="str">
        <f>VLOOKUP(B337,'Форма КП'!$B$27:$G$49,5,FALSE)</f>
        <v>Материал заказчика</v>
      </c>
      <c r="Q337" s="50"/>
      <c r="R337" s="49" t="str">
        <f t="shared" ref="R337:R338" si="192">P337</f>
        <v>Материал заказчика</v>
      </c>
      <c r="S337" s="50"/>
    </row>
    <row r="338" spans="1:19" ht="24" x14ac:dyDescent="0.25">
      <c r="A338" s="132" t="s">
        <v>453</v>
      </c>
      <c r="B338" s="128" t="s">
        <v>508</v>
      </c>
      <c r="C338" s="133" t="s">
        <v>509</v>
      </c>
      <c r="D338" s="90">
        <v>0.25</v>
      </c>
      <c r="E338" s="132" t="s">
        <v>226</v>
      </c>
      <c r="F338" s="134">
        <f t="shared" si="177"/>
        <v>11.48</v>
      </c>
      <c r="G338" s="88">
        <f>G336*D338</f>
        <v>1.64</v>
      </c>
      <c r="H338" s="88">
        <f>H336*D338</f>
        <v>1.64</v>
      </c>
      <c r="I338" s="88">
        <f>I336*D338</f>
        <v>1.64</v>
      </c>
      <c r="J338" s="88">
        <f>J336*D338</f>
        <v>1.64</v>
      </c>
      <c r="K338" s="88">
        <f>K336*D338</f>
        <v>1.64</v>
      </c>
      <c r="L338" s="88">
        <f>L336*D338</f>
        <v>1.64</v>
      </c>
      <c r="M338" s="88">
        <f>M336*D338</f>
        <v>1.64</v>
      </c>
      <c r="N338" s="29"/>
      <c r="O338" s="29"/>
      <c r="P338" s="49" t="str">
        <f>VLOOKUP(B338,'Форма КП'!$B$27:$G$49,5,FALSE)</f>
        <v>Материал заказчика</v>
      </c>
      <c r="Q338" s="50"/>
      <c r="R338" s="49" t="str">
        <f t="shared" si="192"/>
        <v>Материал заказчика</v>
      </c>
      <c r="S338" s="50"/>
    </row>
    <row r="339" spans="1:19" x14ac:dyDescent="0.25">
      <c r="A339" s="126" t="s">
        <v>232</v>
      </c>
      <c r="B339" s="120"/>
      <c r="C339" s="121"/>
      <c r="D339" s="122"/>
      <c r="E339" s="123"/>
      <c r="F339" s="124"/>
      <c r="G339" s="125"/>
      <c r="H339" s="125"/>
      <c r="I339" s="125"/>
      <c r="J339" s="125"/>
      <c r="K339" s="125"/>
      <c r="L339" s="125"/>
      <c r="M339" s="125"/>
      <c r="N339" s="33"/>
      <c r="O339" s="33"/>
      <c r="P339" s="33"/>
      <c r="Q339" s="33"/>
      <c r="R339" s="33"/>
      <c r="S339" s="31"/>
    </row>
    <row r="340" spans="1:19" ht="216" x14ac:dyDescent="0.25">
      <c r="A340" s="127" t="s">
        <v>454</v>
      </c>
      <c r="B340" s="128" t="s">
        <v>510</v>
      </c>
      <c r="C340" s="129" t="s">
        <v>776</v>
      </c>
      <c r="D340" s="130"/>
      <c r="E340" s="127" t="s">
        <v>224</v>
      </c>
      <c r="F340" s="131">
        <f t="shared" ref="F340:F354" si="193">SUM(G340:M340)</f>
        <v>2475.61</v>
      </c>
      <c r="G340" s="113">
        <f>117.7*2.78+7.6*0.68+14.6*1.2+11.8*0.5+3.6*0.48</f>
        <v>357.52</v>
      </c>
      <c r="H340" s="113">
        <f>116.62*2.78+3*0.68+9.8*0.5+11.8*1.2+7.4*0.48</f>
        <v>348.86</v>
      </c>
      <c r="I340" s="113">
        <f>116.62*2.78+3*0.68+9.8*0.5+11.8*1.2+7.4*0.48</f>
        <v>348.86</v>
      </c>
      <c r="J340" s="113">
        <f>135.76*2.78+9.6*0.5+16.5*1.2+9.6*0.68+3.6*0.48</f>
        <v>410.27</v>
      </c>
      <c r="K340" s="116">
        <f>131.42*2.7-3*2.1-17.17*1.7-9.87*2.3+9.2*0.4</f>
        <v>300.32</v>
      </c>
      <c r="L340" s="116">
        <f>165.09*2.7-10.6*2.1-16.57*1.7-9.87*2.3+3.6*0.4</f>
        <v>374.05</v>
      </c>
      <c r="M340" s="116">
        <f>144.8*2.7-3*2.1-17.17*1.7-9.87*2.3+7.4*0.4</f>
        <v>335.73</v>
      </c>
      <c r="N340" s="104">
        <f>VLOOKUP(B340,'Форма КП'!$B$17:$G$25,5,FALSE)</f>
        <v>0</v>
      </c>
      <c r="O340" s="104">
        <f>N340*F340</f>
        <v>0</v>
      </c>
      <c r="P340" s="104"/>
      <c r="Q340" s="104"/>
      <c r="R340" s="104">
        <f>N340</f>
        <v>0</v>
      </c>
      <c r="S340" s="104">
        <f>N340*F340</f>
        <v>0</v>
      </c>
    </row>
    <row r="341" spans="1:19" x14ac:dyDescent="0.25">
      <c r="A341" s="132" t="s">
        <v>455</v>
      </c>
      <c r="B341" s="128" t="s">
        <v>486</v>
      </c>
      <c r="C341" s="133" t="s">
        <v>487</v>
      </c>
      <c r="D341" s="90">
        <v>1.45</v>
      </c>
      <c r="E341" s="132" t="s">
        <v>6</v>
      </c>
      <c r="F341" s="134">
        <f t="shared" si="193"/>
        <v>3589.63</v>
      </c>
      <c r="G341" s="88">
        <f>G340*D341</f>
        <v>518.4</v>
      </c>
      <c r="H341" s="88">
        <f>H340*D341</f>
        <v>505.85</v>
      </c>
      <c r="I341" s="88">
        <f>I340*D341</f>
        <v>505.85</v>
      </c>
      <c r="J341" s="88">
        <f>J340*D341</f>
        <v>594.89</v>
      </c>
      <c r="K341" s="106">
        <f>K340*D341</f>
        <v>435.46</v>
      </c>
      <c r="L341" s="106">
        <f>L340*D341</f>
        <v>542.37</v>
      </c>
      <c r="M341" s="106">
        <f>M340*D341</f>
        <v>486.81</v>
      </c>
      <c r="N341" s="29"/>
      <c r="O341" s="29"/>
      <c r="P341" s="86">
        <f>VLOOKUP(B341,'Форма КП'!$B$27:$G$49,5,FALSE)</f>
        <v>0</v>
      </c>
      <c r="Q341" s="86">
        <f t="shared" ref="Q341" si="194">P341*F341</f>
        <v>0</v>
      </c>
      <c r="R341" s="32">
        <f t="shared" ref="R341:R343" si="195">P341</f>
        <v>0</v>
      </c>
      <c r="S341" s="32">
        <f t="shared" ref="S341" si="196">P341*F341</f>
        <v>0</v>
      </c>
    </row>
    <row r="342" spans="1:19" x14ac:dyDescent="0.25">
      <c r="A342" s="132" t="s">
        <v>456</v>
      </c>
      <c r="B342" s="128" t="s">
        <v>488</v>
      </c>
      <c r="C342" s="133" t="s">
        <v>489</v>
      </c>
      <c r="D342" s="90">
        <v>0.2</v>
      </c>
      <c r="E342" s="132" t="s">
        <v>228</v>
      </c>
      <c r="F342" s="134">
        <f t="shared" si="193"/>
        <v>495.11</v>
      </c>
      <c r="G342" s="88">
        <f>G340*D342</f>
        <v>71.5</v>
      </c>
      <c r="H342" s="88">
        <f>H340*D342</f>
        <v>69.77</v>
      </c>
      <c r="I342" s="88">
        <f>I340*D342</f>
        <v>69.77</v>
      </c>
      <c r="J342" s="88">
        <f>J340*D342</f>
        <v>82.05</v>
      </c>
      <c r="K342" s="106">
        <f>(131.42*2.7-3*2.1-17.17*1.7-9.87*2.3+9.2*0.4)*D342</f>
        <v>60.06</v>
      </c>
      <c r="L342" s="106">
        <f>(165.09*2.7-10.6*2.1-16.57*1.7-9.87*2.3+3.6*0.4)*D342</f>
        <v>74.81</v>
      </c>
      <c r="M342" s="106">
        <f>(144.8*2.7-3*2.1-17.17*1.7-9.87*2.3+7.4*0.4)*D342</f>
        <v>67.150000000000006</v>
      </c>
      <c r="N342" s="29"/>
      <c r="O342" s="29"/>
      <c r="P342" s="49" t="str">
        <f>VLOOKUP(B342,'Форма КП'!$B$27:$G$49,5,FALSE)</f>
        <v>Материал заказчика</v>
      </c>
      <c r="Q342" s="50"/>
      <c r="R342" s="49" t="str">
        <f t="shared" si="195"/>
        <v>Материал заказчика</v>
      </c>
      <c r="S342" s="50"/>
    </row>
    <row r="343" spans="1:19" x14ac:dyDescent="0.25">
      <c r="A343" s="132" t="s">
        <v>457</v>
      </c>
      <c r="B343" s="128" t="s">
        <v>511</v>
      </c>
      <c r="C343" s="133" t="s">
        <v>512</v>
      </c>
      <c r="D343" s="90">
        <v>16</v>
      </c>
      <c r="E343" s="132" t="s">
        <v>228</v>
      </c>
      <c r="F343" s="134">
        <f t="shared" si="193"/>
        <v>39609.760000000002</v>
      </c>
      <c r="G343" s="88">
        <f>G340*D343</f>
        <v>5720.32</v>
      </c>
      <c r="H343" s="88">
        <f>H340*D343</f>
        <v>5581.76</v>
      </c>
      <c r="I343" s="88">
        <f>I340*D343</f>
        <v>5581.76</v>
      </c>
      <c r="J343" s="88">
        <f>J340*D343</f>
        <v>6564.32</v>
      </c>
      <c r="K343" s="106">
        <f>K340*D343</f>
        <v>4805.12</v>
      </c>
      <c r="L343" s="106">
        <f>L340*D343</f>
        <v>5984.8</v>
      </c>
      <c r="M343" s="106">
        <f>M340*D343</f>
        <v>5371.68</v>
      </c>
      <c r="N343" s="29"/>
      <c r="O343" s="29"/>
      <c r="P343" s="49" t="str">
        <f>VLOOKUP(B343,'Форма КП'!$B$27:$G$49,5,FALSE)</f>
        <v>Материал заказчика</v>
      </c>
      <c r="Q343" s="50"/>
      <c r="R343" s="49" t="str">
        <f t="shared" si="195"/>
        <v>Материал заказчика</v>
      </c>
      <c r="S343" s="50"/>
    </row>
    <row r="344" spans="1:19" ht="216" x14ac:dyDescent="0.25">
      <c r="A344" s="127" t="s">
        <v>458</v>
      </c>
      <c r="B344" s="128" t="s">
        <v>510</v>
      </c>
      <c r="C344" s="129" t="s">
        <v>776</v>
      </c>
      <c r="D344" s="130"/>
      <c r="E344" s="127" t="s">
        <v>224</v>
      </c>
      <c r="F344" s="131">
        <f t="shared" si="193"/>
        <v>2310.37</v>
      </c>
      <c r="G344" s="113">
        <f>130*2.78+21.6*0.68</f>
        <v>376.09</v>
      </c>
      <c r="H344" s="113">
        <f>111.56*2.78+17.8*0.68</f>
        <v>322.24</v>
      </c>
      <c r="I344" s="113">
        <f>111.56*2.78+17.8*0.68</f>
        <v>322.24</v>
      </c>
      <c r="J344" s="113">
        <f>121*2.78+25.2*0.68</f>
        <v>353.52</v>
      </c>
      <c r="K344" s="116">
        <f>118.52*2.7-16*2.1</f>
        <v>286.39999999999998</v>
      </c>
      <c r="L344" s="116">
        <f>148.27*2.7-25.4*2.1</f>
        <v>346.99</v>
      </c>
      <c r="M344" s="116">
        <f>125.87*2.7-17.6*2.1</f>
        <v>302.89</v>
      </c>
      <c r="N344" s="104">
        <f>VLOOKUP(B344,'Форма КП'!$B$17:$G$25,5,FALSE)</f>
        <v>0</v>
      </c>
      <c r="O344" s="104">
        <f>N344*F344</f>
        <v>0</v>
      </c>
      <c r="P344" s="104"/>
      <c r="Q344" s="104"/>
      <c r="R344" s="104">
        <f>N344</f>
        <v>0</v>
      </c>
      <c r="S344" s="104">
        <f>N344*F344</f>
        <v>0</v>
      </c>
    </row>
    <row r="345" spans="1:19" x14ac:dyDescent="0.25">
      <c r="A345" s="132" t="s">
        <v>459</v>
      </c>
      <c r="B345" s="128" t="s">
        <v>486</v>
      </c>
      <c r="C345" s="133" t="s">
        <v>487</v>
      </c>
      <c r="D345" s="90">
        <v>1.45</v>
      </c>
      <c r="E345" s="132" t="s">
        <v>6</v>
      </c>
      <c r="F345" s="134">
        <f t="shared" si="193"/>
        <v>3350.04</v>
      </c>
      <c r="G345" s="88">
        <f>G344*D345</f>
        <v>545.33000000000004</v>
      </c>
      <c r="H345" s="88">
        <f>H344*D345</f>
        <v>467.25</v>
      </c>
      <c r="I345" s="88">
        <f>I344*D345</f>
        <v>467.25</v>
      </c>
      <c r="J345" s="88">
        <f>J344*D345</f>
        <v>512.6</v>
      </c>
      <c r="K345" s="106">
        <f>K344*D345</f>
        <v>415.28</v>
      </c>
      <c r="L345" s="106">
        <f>L344*D345</f>
        <v>503.14</v>
      </c>
      <c r="M345" s="106">
        <f>M344*D345</f>
        <v>439.19</v>
      </c>
      <c r="N345" s="29"/>
      <c r="O345" s="29"/>
      <c r="P345" s="86">
        <f>VLOOKUP(B345,'Форма КП'!$B$27:$G$49,5,FALSE)</f>
        <v>0</v>
      </c>
      <c r="Q345" s="86">
        <f t="shared" ref="Q345" si="197">P345*F345</f>
        <v>0</v>
      </c>
      <c r="R345" s="32">
        <f t="shared" ref="R345:R347" si="198">P345</f>
        <v>0</v>
      </c>
      <c r="S345" s="32">
        <f t="shared" ref="S345" si="199">P345*F345</f>
        <v>0</v>
      </c>
    </row>
    <row r="346" spans="1:19" x14ac:dyDescent="0.25">
      <c r="A346" s="132" t="s">
        <v>460</v>
      </c>
      <c r="B346" s="128" t="s">
        <v>484</v>
      </c>
      <c r="C346" s="133" t="s">
        <v>225</v>
      </c>
      <c r="D346" s="90">
        <v>0.4</v>
      </c>
      <c r="E346" s="132" t="s">
        <v>226</v>
      </c>
      <c r="F346" s="134">
        <f t="shared" si="193"/>
        <v>924.17</v>
      </c>
      <c r="G346" s="88">
        <f>G344*D346</f>
        <v>150.44</v>
      </c>
      <c r="H346" s="88">
        <f>H344*D346</f>
        <v>128.9</v>
      </c>
      <c r="I346" s="88">
        <f>I344*D346</f>
        <v>128.9</v>
      </c>
      <c r="J346" s="88">
        <f>J344*D346</f>
        <v>141.41</v>
      </c>
      <c r="K346" s="106">
        <f>(118.52*2.7-16*2.1)*D346</f>
        <v>114.56</v>
      </c>
      <c r="L346" s="106">
        <f>(148.27*2.7-25.4*2.1)*D346</f>
        <v>138.80000000000001</v>
      </c>
      <c r="M346" s="106">
        <f>(125.87*2.7-17.6*2.1)*D346</f>
        <v>121.16</v>
      </c>
      <c r="N346" s="29"/>
      <c r="O346" s="29"/>
      <c r="P346" s="49" t="str">
        <f>VLOOKUP(B346,'Форма КП'!$B$27:$G$49,5,FALSE)</f>
        <v>Материал заказчика</v>
      </c>
      <c r="Q346" s="50"/>
      <c r="R346" s="49" t="str">
        <f t="shared" si="198"/>
        <v>Материал заказчика</v>
      </c>
      <c r="S346" s="50"/>
    </row>
    <row r="347" spans="1:19" x14ac:dyDescent="0.25">
      <c r="A347" s="132" t="s">
        <v>461</v>
      </c>
      <c r="B347" s="128" t="s">
        <v>511</v>
      </c>
      <c r="C347" s="133" t="s">
        <v>512</v>
      </c>
      <c r="D347" s="90">
        <v>16</v>
      </c>
      <c r="E347" s="132" t="s">
        <v>228</v>
      </c>
      <c r="F347" s="134">
        <f t="shared" si="193"/>
        <v>36965.919999999998</v>
      </c>
      <c r="G347" s="88">
        <f>G344*D347</f>
        <v>6017.44</v>
      </c>
      <c r="H347" s="88">
        <f>H344*D347</f>
        <v>5155.84</v>
      </c>
      <c r="I347" s="88">
        <f>I344*D347</f>
        <v>5155.84</v>
      </c>
      <c r="J347" s="88">
        <f>J344*D347</f>
        <v>5656.32</v>
      </c>
      <c r="K347" s="106">
        <f>K344*D347</f>
        <v>4582.3999999999996</v>
      </c>
      <c r="L347" s="106">
        <f>L344*D347</f>
        <v>5551.84</v>
      </c>
      <c r="M347" s="106">
        <f>M344*D347</f>
        <v>4846.24</v>
      </c>
      <c r="N347" s="29"/>
      <c r="O347" s="29"/>
      <c r="P347" s="49" t="str">
        <f>VLOOKUP(B347,'Форма КП'!$B$27:$G$49,5,FALSE)</f>
        <v>Материал заказчика</v>
      </c>
      <c r="Q347" s="50"/>
      <c r="R347" s="49" t="str">
        <f t="shared" si="198"/>
        <v>Материал заказчика</v>
      </c>
      <c r="S347" s="50"/>
    </row>
    <row r="348" spans="1:19" ht="132" x14ac:dyDescent="0.25">
      <c r="A348" s="127" t="s">
        <v>462</v>
      </c>
      <c r="B348" s="128" t="s">
        <v>481</v>
      </c>
      <c r="C348" s="129" t="s">
        <v>778</v>
      </c>
      <c r="D348" s="130"/>
      <c r="E348" s="127" t="s">
        <v>224</v>
      </c>
      <c r="F348" s="131">
        <f t="shared" si="193"/>
        <v>2093.27</v>
      </c>
      <c r="G348" s="116">
        <f>G344+G340</f>
        <v>733.61</v>
      </c>
      <c r="H348" s="116"/>
      <c r="I348" s="116"/>
      <c r="J348" s="116"/>
      <c r="K348" s="116"/>
      <c r="L348" s="116">
        <f>L340+L344</f>
        <v>721.04</v>
      </c>
      <c r="M348" s="116">
        <f>M340+M344</f>
        <v>638.62</v>
      </c>
      <c r="N348" s="104">
        <f>VLOOKUP(B348,'Форма КП'!$B$17:$G$25,5,FALSE)</f>
        <v>0</v>
      </c>
      <c r="O348" s="104">
        <f>N348*F348</f>
        <v>0</v>
      </c>
      <c r="P348" s="104"/>
      <c r="Q348" s="104"/>
      <c r="R348" s="104">
        <f>N348</f>
        <v>0</v>
      </c>
      <c r="S348" s="104">
        <f>N348*F348</f>
        <v>0</v>
      </c>
    </row>
    <row r="349" spans="1:19" x14ac:dyDescent="0.25">
      <c r="A349" s="132" t="s">
        <v>463</v>
      </c>
      <c r="B349" s="128" t="s">
        <v>482</v>
      </c>
      <c r="C349" s="133" t="s">
        <v>483</v>
      </c>
      <c r="D349" s="136">
        <v>2.4</v>
      </c>
      <c r="E349" s="132" t="s">
        <v>228</v>
      </c>
      <c r="F349" s="134">
        <f t="shared" si="193"/>
        <v>5023.8500000000004</v>
      </c>
      <c r="G349" s="88">
        <f>G348*D349</f>
        <v>1760.66</v>
      </c>
      <c r="H349" s="88">
        <f>H348*D349</f>
        <v>0</v>
      </c>
      <c r="I349" s="88">
        <f>I348*D349</f>
        <v>0</v>
      </c>
      <c r="J349" s="88">
        <f>J348*D349</f>
        <v>0</v>
      </c>
      <c r="K349" s="106">
        <f>K348*D349</f>
        <v>0</v>
      </c>
      <c r="L349" s="106">
        <f>L348*D349</f>
        <v>1730.5</v>
      </c>
      <c r="M349" s="106">
        <f>M348*D349</f>
        <v>1532.69</v>
      </c>
      <c r="N349" s="29"/>
      <c r="O349" s="29"/>
      <c r="P349" s="49" t="str">
        <f>VLOOKUP(B349,'Форма КП'!$B$27:$G$49,5,FALSE)</f>
        <v>Материал заказчика</v>
      </c>
      <c r="Q349" s="50"/>
      <c r="R349" s="49" t="str">
        <f t="shared" ref="R349:R350" si="200">P349</f>
        <v>Материал заказчика</v>
      </c>
      <c r="S349" s="50"/>
    </row>
    <row r="350" spans="1:19" x14ac:dyDescent="0.25">
      <c r="A350" s="132" t="s">
        <v>464</v>
      </c>
      <c r="B350" s="128" t="s">
        <v>484</v>
      </c>
      <c r="C350" s="133" t="s">
        <v>225</v>
      </c>
      <c r="D350" s="136">
        <v>0.15</v>
      </c>
      <c r="E350" s="132" t="s">
        <v>226</v>
      </c>
      <c r="F350" s="134">
        <f t="shared" si="193"/>
        <v>313.99</v>
      </c>
      <c r="G350" s="88">
        <f>G348*D350</f>
        <v>110.04</v>
      </c>
      <c r="H350" s="88">
        <f>H348*D350</f>
        <v>0</v>
      </c>
      <c r="I350" s="88">
        <f>I348*D350</f>
        <v>0</v>
      </c>
      <c r="J350" s="88">
        <f>J348*D350</f>
        <v>0</v>
      </c>
      <c r="K350" s="106">
        <f>K348*D350</f>
        <v>0</v>
      </c>
      <c r="L350" s="106">
        <f>L348*D350</f>
        <v>108.16</v>
      </c>
      <c r="M350" s="106">
        <f>M348*D350</f>
        <v>95.79</v>
      </c>
      <c r="N350" s="29"/>
      <c r="O350" s="29"/>
      <c r="P350" s="49" t="str">
        <f>VLOOKUP(B350,'Форма КП'!$B$27:$G$49,5,FALSE)</f>
        <v>Материал заказчика</v>
      </c>
      <c r="Q350" s="50"/>
      <c r="R350" s="49" t="str">
        <f t="shared" si="200"/>
        <v>Материал заказчика</v>
      </c>
      <c r="S350" s="50"/>
    </row>
    <row r="351" spans="1:19" ht="264" x14ac:dyDescent="0.25">
      <c r="A351" s="127" t="s">
        <v>465</v>
      </c>
      <c r="B351" s="128" t="s">
        <v>474</v>
      </c>
      <c r="C351" s="129" t="s">
        <v>782</v>
      </c>
      <c r="D351" s="130"/>
      <c r="E351" s="127" t="s">
        <v>224</v>
      </c>
      <c r="F351" s="131">
        <f t="shared" si="193"/>
        <v>111.86</v>
      </c>
      <c r="G351" s="115">
        <f>6.66*2.75+1.02*2.81</f>
        <v>21.18</v>
      </c>
      <c r="H351" s="115">
        <f>3.48*2.75</f>
        <v>9.57</v>
      </c>
      <c r="I351" s="115">
        <f>3.48*2.75</f>
        <v>9.57</v>
      </c>
      <c r="J351" s="115">
        <f>8.69*2.75</f>
        <v>23.9</v>
      </c>
      <c r="K351" s="115">
        <f>3.48*2.75</f>
        <v>9.57</v>
      </c>
      <c r="L351" s="115">
        <f>6.39*2.75+1.05*2.81</f>
        <v>20.52</v>
      </c>
      <c r="M351" s="115">
        <f>3.95*2.75+2.38*2.81</f>
        <v>17.55</v>
      </c>
      <c r="N351" s="104">
        <f>VLOOKUP(B351,'Форма КП'!$B$17:$G$25,5,FALSE)</f>
        <v>0</v>
      </c>
      <c r="O351" s="104">
        <f>N351*F351</f>
        <v>0</v>
      </c>
      <c r="P351" s="104"/>
      <c r="Q351" s="104"/>
      <c r="R351" s="104">
        <f>N351</f>
        <v>0</v>
      </c>
      <c r="S351" s="104">
        <f>N351*F351</f>
        <v>0</v>
      </c>
    </row>
    <row r="352" spans="1:19" x14ac:dyDescent="0.25">
      <c r="A352" s="132" t="s">
        <v>466</v>
      </c>
      <c r="B352" s="128" t="s">
        <v>524</v>
      </c>
      <c r="C352" s="133" t="s">
        <v>525</v>
      </c>
      <c r="D352" s="90">
        <v>2.25</v>
      </c>
      <c r="E352" s="132" t="s">
        <v>224</v>
      </c>
      <c r="F352" s="134">
        <f t="shared" si="193"/>
        <v>251.69</v>
      </c>
      <c r="G352" s="88">
        <f>G351*D352</f>
        <v>47.66</v>
      </c>
      <c r="H352" s="88">
        <f>H351*D352</f>
        <v>21.53</v>
      </c>
      <c r="I352" s="88">
        <f>I351*D352</f>
        <v>21.53</v>
      </c>
      <c r="J352" s="88">
        <f>J351*D352</f>
        <v>53.78</v>
      </c>
      <c r="K352" s="106">
        <f>K351*D352</f>
        <v>21.53</v>
      </c>
      <c r="L352" s="106">
        <f>L351*D352</f>
        <v>46.17</v>
      </c>
      <c r="M352" s="106">
        <f>M351*D352</f>
        <v>39.49</v>
      </c>
      <c r="N352" s="29"/>
      <c r="O352" s="29"/>
      <c r="P352" s="86">
        <f>VLOOKUP(B352,'Форма КП'!$B$27:$G$49,5,FALSE)</f>
        <v>0</v>
      </c>
      <c r="Q352" s="86">
        <f t="shared" ref="Q352:Q354" si="201">P352*F352</f>
        <v>0</v>
      </c>
      <c r="R352" s="32">
        <f t="shared" ref="R352:R354" si="202">P352</f>
        <v>0</v>
      </c>
      <c r="S352" s="32">
        <f t="shared" ref="S352:S354" si="203">P352*F352</f>
        <v>0</v>
      </c>
    </row>
    <row r="353" spans="1:19" x14ac:dyDescent="0.25">
      <c r="A353" s="132" t="s">
        <v>467</v>
      </c>
      <c r="B353" s="128" t="s">
        <v>477</v>
      </c>
      <c r="C353" s="133" t="s">
        <v>478</v>
      </c>
      <c r="D353" s="90">
        <v>0.86</v>
      </c>
      <c r="E353" s="132" t="s">
        <v>6</v>
      </c>
      <c r="F353" s="134">
        <f t="shared" si="193"/>
        <v>96.19</v>
      </c>
      <c r="G353" s="88">
        <f>G351*D353</f>
        <v>18.21</v>
      </c>
      <c r="H353" s="88">
        <f>H351*D353</f>
        <v>8.23</v>
      </c>
      <c r="I353" s="88">
        <f>I351*D353</f>
        <v>8.23</v>
      </c>
      <c r="J353" s="88">
        <f>J351*D353</f>
        <v>20.55</v>
      </c>
      <c r="K353" s="106">
        <f>K351*D353</f>
        <v>8.23</v>
      </c>
      <c r="L353" s="106">
        <f>L351*D353</f>
        <v>17.649999999999999</v>
      </c>
      <c r="M353" s="106">
        <f>M351*D353</f>
        <v>15.09</v>
      </c>
      <c r="N353" s="29"/>
      <c r="O353" s="29"/>
      <c r="P353" s="86">
        <f>VLOOKUP(B353,'Форма КП'!$B$27:$G$49,5,FALSE)</f>
        <v>0</v>
      </c>
      <c r="Q353" s="86">
        <f t="shared" si="201"/>
        <v>0</v>
      </c>
      <c r="R353" s="32">
        <f t="shared" si="202"/>
        <v>0</v>
      </c>
      <c r="S353" s="32">
        <f t="shared" si="203"/>
        <v>0</v>
      </c>
    </row>
    <row r="354" spans="1:19" x14ac:dyDescent="0.25">
      <c r="A354" s="132" t="s">
        <v>526</v>
      </c>
      <c r="B354" s="128" t="s">
        <v>479</v>
      </c>
      <c r="C354" s="133" t="s">
        <v>480</v>
      </c>
      <c r="D354" s="90">
        <v>2.34</v>
      </c>
      <c r="E354" s="132" t="s">
        <v>6</v>
      </c>
      <c r="F354" s="134">
        <f t="shared" si="193"/>
        <v>261.75</v>
      </c>
      <c r="G354" s="88">
        <f>G351*D354</f>
        <v>49.56</v>
      </c>
      <c r="H354" s="88">
        <f>H351*D354</f>
        <v>22.39</v>
      </c>
      <c r="I354" s="88">
        <f>I351*D354</f>
        <v>22.39</v>
      </c>
      <c r="J354" s="88">
        <f>J351*D354</f>
        <v>55.93</v>
      </c>
      <c r="K354" s="106">
        <f>K351*D354</f>
        <v>22.39</v>
      </c>
      <c r="L354" s="106">
        <f>L351*D354</f>
        <v>48.02</v>
      </c>
      <c r="M354" s="106">
        <f>M351*D354</f>
        <v>41.07</v>
      </c>
      <c r="N354" s="29"/>
      <c r="O354" s="29"/>
      <c r="P354" s="86">
        <f>VLOOKUP(B354,'Форма КП'!$B$27:$G$49,5,FALSE)</f>
        <v>0</v>
      </c>
      <c r="Q354" s="86">
        <f t="shared" si="201"/>
        <v>0</v>
      </c>
      <c r="R354" s="32">
        <f t="shared" si="202"/>
        <v>0</v>
      </c>
      <c r="S354" s="32">
        <f t="shared" si="203"/>
        <v>0</v>
      </c>
    </row>
    <row r="355" spans="1:19" x14ac:dyDescent="0.25">
      <c r="A355" s="119" t="s">
        <v>318</v>
      </c>
      <c r="B355" s="120"/>
      <c r="C355" s="121"/>
      <c r="D355" s="122"/>
      <c r="E355" s="123"/>
      <c r="F355" s="124"/>
      <c r="G355" s="125"/>
      <c r="H355" s="125"/>
      <c r="I355" s="125"/>
      <c r="J355" s="125"/>
      <c r="K355" s="125"/>
      <c r="L355" s="125"/>
      <c r="M355" s="125"/>
      <c r="N355" s="33"/>
      <c r="O355" s="33"/>
      <c r="P355" s="33"/>
      <c r="Q355" s="33"/>
      <c r="R355" s="33"/>
      <c r="S355" s="31"/>
    </row>
    <row r="356" spans="1:19" x14ac:dyDescent="0.25">
      <c r="A356" s="126" t="s">
        <v>223</v>
      </c>
      <c r="B356" s="120"/>
      <c r="C356" s="121"/>
      <c r="D356" s="122"/>
      <c r="E356" s="123"/>
      <c r="F356" s="124"/>
      <c r="G356" s="125"/>
      <c r="H356" s="125"/>
      <c r="I356" s="125"/>
      <c r="J356" s="125"/>
      <c r="K356" s="125"/>
      <c r="L356" s="125"/>
      <c r="M356" s="125"/>
      <c r="N356" s="33"/>
      <c r="O356" s="33"/>
      <c r="P356" s="33"/>
      <c r="Q356" s="33"/>
      <c r="R356" s="33"/>
      <c r="S356" s="31"/>
    </row>
    <row r="357" spans="1:19" ht="264" x14ac:dyDescent="0.25">
      <c r="A357" s="127" t="s">
        <v>527</v>
      </c>
      <c r="B357" s="128" t="s">
        <v>474</v>
      </c>
      <c r="C357" s="129" t="s">
        <v>782</v>
      </c>
      <c r="D357" s="130"/>
      <c r="E357" s="127" t="s">
        <v>224</v>
      </c>
      <c r="F357" s="131">
        <f t="shared" ref="F357:F382" si="204">SUM(G357:M357)</f>
        <v>187.58</v>
      </c>
      <c r="G357" s="113">
        <f>6.46*2.81-2.4*2.3+4.94*2.81</f>
        <v>26.51</v>
      </c>
      <c r="H357" s="113">
        <f>6.46*2.81-2.4*2.3+5.1*2.81</f>
        <v>26.96</v>
      </c>
      <c r="I357" s="113">
        <f>6.46*2.81-2.4*2.3+5.1*2.81</f>
        <v>26.96</v>
      </c>
      <c r="J357" s="113">
        <f>6.46*2.81-2.4*2.3+5.02*2.81</f>
        <v>26.74</v>
      </c>
      <c r="K357" s="113">
        <f>6.46*2.81-2.4*2.3+5.1*2.81</f>
        <v>26.96</v>
      </c>
      <c r="L357" s="113">
        <f>6.46*2.81-2.4*2.3+4.93*2.81</f>
        <v>26.49</v>
      </c>
      <c r="M357" s="113">
        <f>6.46*2.81-2.4*2.3+5.1*2.81</f>
        <v>26.96</v>
      </c>
      <c r="N357" s="104">
        <f>VLOOKUP(B357,'Форма КП'!$B$17:$G$25,5,FALSE)</f>
        <v>0</v>
      </c>
      <c r="O357" s="104">
        <f>N357*F357</f>
        <v>0</v>
      </c>
      <c r="P357" s="104"/>
      <c r="Q357" s="104"/>
      <c r="R357" s="104">
        <f>N357</f>
        <v>0</v>
      </c>
      <c r="S357" s="104">
        <f>N357*F357</f>
        <v>0</v>
      </c>
    </row>
    <row r="358" spans="1:19" x14ac:dyDescent="0.25">
      <c r="A358" s="132" t="s">
        <v>528</v>
      </c>
      <c r="B358" s="128" t="s">
        <v>475</v>
      </c>
      <c r="C358" s="133" t="s">
        <v>476</v>
      </c>
      <c r="D358" s="90">
        <v>2.25</v>
      </c>
      <c r="E358" s="132" t="s">
        <v>224</v>
      </c>
      <c r="F358" s="134">
        <f t="shared" si="204"/>
        <v>422.06</v>
      </c>
      <c r="G358" s="88">
        <f>G357*D358</f>
        <v>59.65</v>
      </c>
      <c r="H358" s="88">
        <f>H357*D358</f>
        <v>60.66</v>
      </c>
      <c r="I358" s="88">
        <f>I357*D358</f>
        <v>60.66</v>
      </c>
      <c r="J358" s="88">
        <f>J357*D358</f>
        <v>60.17</v>
      </c>
      <c r="K358" s="88">
        <f>K357*D358</f>
        <v>60.66</v>
      </c>
      <c r="L358" s="88">
        <f>L357*D358</f>
        <v>59.6</v>
      </c>
      <c r="M358" s="88">
        <f>M357*D358</f>
        <v>60.66</v>
      </c>
      <c r="N358" s="29"/>
      <c r="O358" s="29"/>
      <c r="P358" s="86">
        <f>VLOOKUP(B358,'Форма КП'!$B$27:$G$49,5,FALSE)</f>
        <v>0</v>
      </c>
      <c r="Q358" s="86">
        <f t="shared" ref="Q358:Q360" si="205">P358*F358</f>
        <v>0</v>
      </c>
      <c r="R358" s="32">
        <f t="shared" ref="R358:R360" si="206">P358</f>
        <v>0</v>
      </c>
      <c r="S358" s="32">
        <f t="shared" ref="S358:S360" si="207">P358*F358</f>
        <v>0</v>
      </c>
    </row>
    <row r="359" spans="1:19" x14ac:dyDescent="0.25">
      <c r="A359" s="132" t="s">
        <v>529</v>
      </c>
      <c r="B359" s="128" t="s">
        <v>477</v>
      </c>
      <c r="C359" s="133" t="s">
        <v>478</v>
      </c>
      <c r="D359" s="90">
        <v>0.86</v>
      </c>
      <c r="E359" s="132" t="s">
        <v>6</v>
      </c>
      <c r="F359" s="134">
        <f t="shared" si="204"/>
        <v>161.34</v>
      </c>
      <c r="G359" s="88">
        <f>G357*D359</f>
        <v>22.8</v>
      </c>
      <c r="H359" s="88">
        <f>H357*D359</f>
        <v>23.19</v>
      </c>
      <c r="I359" s="88">
        <f>I357*D359</f>
        <v>23.19</v>
      </c>
      <c r="J359" s="88">
        <f>J357*D359</f>
        <v>23</v>
      </c>
      <c r="K359" s="88">
        <f>K357*D359</f>
        <v>23.19</v>
      </c>
      <c r="L359" s="88">
        <f>L357*D359</f>
        <v>22.78</v>
      </c>
      <c r="M359" s="88">
        <f>M357*D359</f>
        <v>23.19</v>
      </c>
      <c r="N359" s="29"/>
      <c r="O359" s="29"/>
      <c r="P359" s="86">
        <f>VLOOKUP(B359,'Форма КП'!$B$27:$G$49,5,FALSE)</f>
        <v>0</v>
      </c>
      <c r="Q359" s="86">
        <f t="shared" si="205"/>
        <v>0</v>
      </c>
      <c r="R359" s="32">
        <f t="shared" si="206"/>
        <v>0</v>
      </c>
      <c r="S359" s="32">
        <f t="shared" si="207"/>
        <v>0</v>
      </c>
    </row>
    <row r="360" spans="1:19" x14ac:dyDescent="0.25">
      <c r="A360" s="132" t="s">
        <v>530</v>
      </c>
      <c r="B360" s="128" t="s">
        <v>479</v>
      </c>
      <c r="C360" s="133" t="s">
        <v>480</v>
      </c>
      <c r="D360" s="90">
        <v>2.34</v>
      </c>
      <c r="E360" s="132" t="s">
        <v>6</v>
      </c>
      <c r="F360" s="134">
        <f t="shared" si="204"/>
        <v>438.95</v>
      </c>
      <c r="G360" s="88">
        <f>G357*D360</f>
        <v>62.03</v>
      </c>
      <c r="H360" s="88">
        <f>H357*D360</f>
        <v>63.09</v>
      </c>
      <c r="I360" s="88">
        <f>I357*D360</f>
        <v>63.09</v>
      </c>
      <c r="J360" s="88">
        <f>J357*D360</f>
        <v>62.57</v>
      </c>
      <c r="K360" s="88">
        <f>K357*D360</f>
        <v>63.09</v>
      </c>
      <c r="L360" s="88">
        <f>L357*D360</f>
        <v>61.99</v>
      </c>
      <c r="M360" s="88">
        <f>M357*D360</f>
        <v>63.09</v>
      </c>
      <c r="N360" s="29"/>
      <c r="O360" s="29"/>
      <c r="P360" s="86">
        <f>VLOOKUP(B360,'Форма КП'!$B$27:$G$49,5,FALSE)</f>
        <v>0</v>
      </c>
      <c r="Q360" s="86">
        <f t="shared" si="205"/>
        <v>0</v>
      </c>
      <c r="R360" s="32">
        <f t="shared" si="206"/>
        <v>0</v>
      </c>
      <c r="S360" s="32">
        <f t="shared" si="207"/>
        <v>0</v>
      </c>
    </row>
    <row r="361" spans="1:19" ht="216" x14ac:dyDescent="0.25">
      <c r="A361" s="127" t="s">
        <v>531</v>
      </c>
      <c r="B361" s="128" t="s">
        <v>510</v>
      </c>
      <c r="C361" s="129" t="s">
        <v>776</v>
      </c>
      <c r="D361" s="130"/>
      <c r="E361" s="127" t="s">
        <v>224</v>
      </c>
      <c r="F361" s="131">
        <f t="shared" si="204"/>
        <v>767.22</v>
      </c>
      <c r="G361" s="113">
        <f>(64.23-2)*2.7-12.99*2.1-1.37*1.7</f>
        <v>138.41</v>
      </c>
      <c r="H361" s="113">
        <f>(45.78-2)*2.7-8.2*2.1-3.05*1.7</f>
        <v>95.8</v>
      </c>
      <c r="I361" s="113">
        <f>(45.78-2)*2.7-8.2*2.1-3.05*1.7</f>
        <v>95.8</v>
      </c>
      <c r="J361" s="113">
        <f>(58-2)*2.7-11.99*2.1-1.37*1.7</f>
        <v>123.69</v>
      </c>
      <c r="K361" s="113">
        <f>(45.79-2)*2.7-8.2*2.1-3.05*1.7</f>
        <v>95.83</v>
      </c>
      <c r="L361" s="113">
        <f>(55.94-2)*2.7-10.2*2.1-1.37*1.7</f>
        <v>121.89</v>
      </c>
      <c r="M361" s="113">
        <f>(45.78-2)*2.7-3.05*1.7-8.2*2.1</f>
        <v>95.8</v>
      </c>
      <c r="N361" s="104">
        <f>VLOOKUP(B361,'Форма КП'!$B$17:$G$25,5,FALSE)</f>
        <v>0</v>
      </c>
      <c r="O361" s="104">
        <f>N361*F361</f>
        <v>0</v>
      </c>
      <c r="P361" s="104"/>
      <c r="Q361" s="104"/>
      <c r="R361" s="104">
        <f>N361</f>
        <v>0</v>
      </c>
      <c r="S361" s="104">
        <f>N361*F361</f>
        <v>0</v>
      </c>
    </row>
    <row r="362" spans="1:19" x14ac:dyDescent="0.25">
      <c r="A362" s="132" t="s">
        <v>532</v>
      </c>
      <c r="B362" s="128" t="s">
        <v>486</v>
      </c>
      <c r="C362" s="133" t="s">
        <v>487</v>
      </c>
      <c r="D362" s="90">
        <v>1.45</v>
      </c>
      <c r="E362" s="132" t="s">
        <v>6</v>
      </c>
      <c r="F362" s="134">
        <f t="shared" si="204"/>
        <v>1112.46</v>
      </c>
      <c r="G362" s="88">
        <f>G361*D362</f>
        <v>200.69</v>
      </c>
      <c r="H362" s="88">
        <f>H361*D362</f>
        <v>138.91</v>
      </c>
      <c r="I362" s="88">
        <f>I361*D362</f>
        <v>138.91</v>
      </c>
      <c r="J362" s="88">
        <f>J361*D362</f>
        <v>179.35</v>
      </c>
      <c r="K362" s="88">
        <f>K361*D362</f>
        <v>138.94999999999999</v>
      </c>
      <c r="L362" s="88">
        <f>L361*D362</f>
        <v>176.74</v>
      </c>
      <c r="M362" s="88">
        <f>M361*D362</f>
        <v>138.91</v>
      </c>
      <c r="N362" s="29"/>
      <c r="O362" s="29"/>
      <c r="P362" s="86">
        <f>VLOOKUP(B362,'Форма КП'!$B$27:$G$49,5,FALSE)</f>
        <v>0</v>
      </c>
      <c r="Q362" s="86">
        <f t="shared" ref="Q362" si="208">P362*F362</f>
        <v>0</v>
      </c>
      <c r="R362" s="32">
        <f t="shared" ref="R362:R364" si="209">P362</f>
        <v>0</v>
      </c>
      <c r="S362" s="32">
        <f t="shared" ref="S362" si="210">P362*F362</f>
        <v>0</v>
      </c>
    </row>
    <row r="363" spans="1:19" x14ac:dyDescent="0.25">
      <c r="A363" s="132" t="s">
        <v>533</v>
      </c>
      <c r="B363" s="128" t="s">
        <v>488</v>
      </c>
      <c r="C363" s="133" t="s">
        <v>489</v>
      </c>
      <c r="D363" s="90">
        <v>0.2</v>
      </c>
      <c r="E363" s="132" t="s">
        <v>228</v>
      </c>
      <c r="F363" s="134">
        <f t="shared" si="204"/>
        <v>155.61000000000001</v>
      </c>
      <c r="G363" s="88">
        <f>((64.23-2)*2.7-12.99*2.1-1.37*1.7)*D363</f>
        <v>27.68</v>
      </c>
      <c r="H363" s="88">
        <f>(45.78*2.7-8.2*2.1-3.05*1.7)*D363</f>
        <v>20.239999999999998</v>
      </c>
      <c r="I363" s="88">
        <f>(45.78*2.7-8.2*2.1-3.05*1.7)*D363</f>
        <v>20.239999999999998</v>
      </c>
      <c r="J363" s="88">
        <f>((58-2)*2.7-11.99*2.1-1.37*1.7)*D363</f>
        <v>24.74</v>
      </c>
      <c r="K363" s="88">
        <f>((45.79-2)*2.7-8.2*2.1-3.05*1.7)*D363</f>
        <v>19.170000000000002</v>
      </c>
      <c r="L363" s="88">
        <f>((55.94-2)*2.7-10.2*2.1-1.37*1.7)*D363</f>
        <v>24.38</v>
      </c>
      <c r="M363" s="88">
        <f>((45.78-2)*2.7-3.05*1.7-8.2*2.1)*D363</f>
        <v>19.16</v>
      </c>
      <c r="N363" s="29"/>
      <c r="O363" s="29"/>
      <c r="P363" s="49" t="str">
        <f>VLOOKUP(B363,'Форма КП'!$B$27:$G$49,5,FALSE)</f>
        <v>Материал заказчика</v>
      </c>
      <c r="Q363" s="50"/>
      <c r="R363" s="49" t="str">
        <f t="shared" si="209"/>
        <v>Материал заказчика</v>
      </c>
      <c r="S363" s="50"/>
    </row>
    <row r="364" spans="1:19" x14ac:dyDescent="0.25">
      <c r="A364" s="132" t="s">
        <v>534</v>
      </c>
      <c r="B364" s="128" t="s">
        <v>511</v>
      </c>
      <c r="C364" s="133" t="s">
        <v>512</v>
      </c>
      <c r="D364" s="90">
        <v>16</v>
      </c>
      <c r="E364" s="132" t="s">
        <v>228</v>
      </c>
      <c r="F364" s="134">
        <f t="shared" si="204"/>
        <v>12275.52</v>
      </c>
      <c r="G364" s="88">
        <f>G361*D364</f>
        <v>2214.56</v>
      </c>
      <c r="H364" s="88">
        <f>H361*D364</f>
        <v>1532.8</v>
      </c>
      <c r="I364" s="88">
        <f>I361*D364</f>
        <v>1532.8</v>
      </c>
      <c r="J364" s="88">
        <f>J361*D364</f>
        <v>1979.04</v>
      </c>
      <c r="K364" s="88">
        <f>K361*D364</f>
        <v>1533.28</v>
      </c>
      <c r="L364" s="88">
        <f>L361*D364</f>
        <v>1950.24</v>
      </c>
      <c r="M364" s="88">
        <f>M361*D364</f>
        <v>1532.8</v>
      </c>
      <c r="N364" s="29"/>
      <c r="O364" s="29"/>
      <c r="P364" s="49" t="str">
        <f>VLOOKUP(B364,'Форма КП'!$B$27:$G$49,5,FALSE)</f>
        <v>Материал заказчика</v>
      </c>
      <c r="Q364" s="50"/>
      <c r="R364" s="49" t="str">
        <f t="shared" si="209"/>
        <v>Материал заказчика</v>
      </c>
      <c r="S364" s="50"/>
    </row>
    <row r="365" spans="1:19" ht="216" x14ac:dyDescent="0.25">
      <c r="A365" s="127" t="s">
        <v>535</v>
      </c>
      <c r="B365" s="128" t="s">
        <v>510</v>
      </c>
      <c r="C365" s="129" t="s">
        <v>776</v>
      </c>
      <c r="D365" s="130"/>
      <c r="E365" s="127" t="s">
        <v>224</v>
      </c>
      <c r="F365" s="131">
        <f t="shared" si="204"/>
        <v>183.61</v>
      </c>
      <c r="G365" s="113">
        <f>12.7*2.7-2*2.1</f>
        <v>30.09</v>
      </c>
      <c r="H365" s="113">
        <f>10.8*2.7-2*2.1</f>
        <v>24.96</v>
      </c>
      <c r="I365" s="113">
        <f>10.8*2.7-2*2.1</f>
        <v>24.96</v>
      </c>
      <c r="J365" s="113">
        <f>13.21*2.7-2*2.1</f>
        <v>31.47</v>
      </c>
      <c r="K365" s="113">
        <f>10.8*2.7-2*2.1</f>
        <v>24.96</v>
      </c>
      <c r="L365" s="113">
        <f>9.78*2.7-2*2.1</f>
        <v>22.21</v>
      </c>
      <c r="M365" s="113">
        <f>10.8*2.7-2*2.1</f>
        <v>24.96</v>
      </c>
      <c r="N365" s="104">
        <f>VLOOKUP(B365,'Форма КП'!$B$17:$G$25,5,FALSE)</f>
        <v>0</v>
      </c>
      <c r="O365" s="104">
        <f>N365*F365</f>
        <v>0</v>
      </c>
      <c r="P365" s="104"/>
      <c r="Q365" s="104"/>
      <c r="R365" s="104">
        <f>N365</f>
        <v>0</v>
      </c>
      <c r="S365" s="104">
        <f>N365*F365</f>
        <v>0</v>
      </c>
    </row>
    <row r="366" spans="1:19" x14ac:dyDescent="0.25">
      <c r="A366" s="132" t="s">
        <v>536</v>
      </c>
      <c r="B366" s="128" t="s">
        <v>486</v>
      </c>
      <c r="C366" s="133" t="s">
        <v>487</v>
      </c>
      <c r="D366" s="90">
        <v>1.45</v>
      </c>
      <c r="E366" s="132" t="s">
        <v>6</v>
      </c>
      <c r="F366" s="134">
        <f t="shared" si="204"/>
        <v>266.22000000000003</v>
      </c>
      <c r="G366" s="88">
        <f>G365*D366</f>
        <v>43.63</v>
      </c>
      <c r="H366" s="88">
        <f>H365*D366</f>
        <v>36.19</v>
      </c>
      <c r="I366" s="88">
        <f>I365*D366</f>
        <v>36.19</v>
      </c>
      <c r="J366" s="88">
        <f>J365*D366</f>
        <v>45.63</v>
      </c>
      <c r="K366" s="88">
        <f>K365*D366</f>
        <v>36.19</v>
      </c>
      <c r="L366" s="88">
        <f>L365*D366</f>
        <v>32.200000000000003</v>
      </c>
      <c r="M366" s="88">
        <f>M365*D366</f>
        <v>36.19</v>
      </c>
      <c r="N366" s="29"/>
      <c r="O366" s="29"/>
      <c r="P366" s="86">
        <f>VLOOKUP(B366,'Форма КП'!$B$27:$G$49,5,FALSE)</f>
        <v>0</v>
      </c>
      <c r="Q366" s="86">
        <f t="shared" ref="Q366" si="211">P366*F366</f>
        <v>0</v>
      </c>
      <c r="R366" s="32">
        <f t="shared" ref="R366:R368" si="212">P366</f>
        <v>0</v>
      </c>
      <c r="S366" s="32">
        <f t="shared" ref="S366" si="213">P366*F366</f>
        <v>0</v>
      </c>
    </row>
    <row r="367" spans="1:19" x14ac:dyDescent="0.25">
      <c r="A367" s="132" t="s">
        <v>537</v>
      </c>
      <c r="B367" s="128" t="s">
        <v>484</v>
      </c>
      <c r="C367" s="133" t="s">
        <v>225</v>
      </c>
      <c r="D367" s="90">
        <v>0.4</v>
      </c>
      <c r="E367" s="132" t="s">
        <v>226</v>
      </c>
      <c r="F367" s="134">
        <f t="shared" si="204"/>
        <v>73.430000000000007</v>
      </c>
      <c r="G367" s="88">
        <f>(12.7*2.7-2*2.1)*D367</f>
        <v>12.04</v>
      </c>
      <c r="H367" s="88">
        <f>(10.8*2.7-2*2.1)*D367</f>
        <v>9.98</v>
      </c>
      <c r="I367" s="88">
        <f>(10.8*2.7-2*2.1)*D367</f>
        <v>9.98</v>
      </c>
      <c r="J367" s="88">
        <f>(13.21*2.7-2*2.1)*D367</f>
        <v>12.59</v>
      </c>
      <c r="K367" s="88">
        <f>(10.8*2.7-2*2.1)*D367</f>
        <v>9.98</v>
      </c>
      <c r="L367" s="88">
        <f>(9.78*2.7-2*2.1)*D367</f>
        <v>8.8800000000000008</v>
      </c>
      <c r="M367" s="88">
        <f>(10.8*2.7-2*2.1)*D367</f>
        <v>9.98</v>
      </c>
      <c r="N367" s="29"/>
      <c r="O367" s="29"/>
      <c r="P367" s="49" t="str">
        <f>VLOOKUP(B367,'Форма КП'!$B$27:$G$49,5,FALSE)</f>
        <v>Материал заказчика</v>
      </c>
      <c r="Q367" s="50"/>
      <c r="R367" s="49" t="str">
        <f t="shared" si="212"/>
        <v>Материал заказчика</v>
      </c>
      <c r="S367" s="50"/>
    </row>
    <row r="368" spans="1:19" x14ac:dyDescent="0.25">
      <c r="A368" s="132" t="s">
        <v>538</v>
      </c>
      <c r="B368" s="128" t="s">
        <v>511</v>
      </c>
      <c r="C368" s="133" t="s">
        <v>512</v>
      </c>
      <c r="D368" s="90">
        <v>16</v>
      </c>
      <c r="E368" s="132" t="s">
        <v>228</v>
      </c>
      <c r="F368" s="134">
        <f t="shared" si="204"/>
        <v>2937.76</v>
      </c>
      <c r="G368" s="88">
        <f>G365*D368</f>
        <v>481.44</v>
      </c>
      <c r="H368" s="88">
        <f>H365*D368</f>
        <v>399.36</v>
      </c>
      <c r="I368" s="88">
        <f>I365*D368</f>
        <v>399.36</v>
      </c>
      <c r="J368" s="88">
        <f>J365*D368</f>
        <v>503.52</v>
      </c>
      <c r="K368" s="88">
        <f>K365*D368</f>
        <v>399.36</v>
      </c>
      <c r="L368" s="88">
        <f>L365*D368</f>
        <v>355.36</v>
      </c>
      <c r="M368" s="88">
        <f>M365*D368</f>
        <v>399.36</v>
      </c>
      <c r="N368" s="29"/>
      <c r="O368" s="29"/>
      <c r="P368" s="49" t="str">
        <f>VLOOKUP(B368,'Форма КП'!$B$27:$G$49,5,FALSE)</f>
        <v>Материал заказчика</v>
      </c>
      <c r="Q368" s="50"/>
      <c r="R368" s="49" t="str">
        <f t="shared" si="212"/>
        <v>Материал заказчика</v>
      </c>
      <c r="S368" s="50"/>
    </row>
    <row r="369" spans="1:19" ht="120" x14ac:dyDescent="0.25">
      <c r="A369" s="127" t="s">
        <v>539</v>
      </c>
      <c r="B369" s="128" t="s">
        <v>513</v>
      </c>
      <c r="C369" s="129" t="s">
        <v>777</v>
      </c>
      <c r="D369" s="130"/>
      <c r="E369" s="127" t="s">
        <v>224</v>
      </c>
      <c r="F369" s="131">
        <f t="shared" si="204"/>
        <v>669.66</v>
      </c>
      <c r="G369" s="115">
        <f>(59.41-2)*2.7-13.69*2.1</f>
        <v>126.26</v>
      </c>
      <c r="H369" s="115">
        <f>(39.06-2)*2.7-8.9*2.1-1.37*1.7</f>
        <v>79.040000000000006</v>
      </c>
      <c r="I369" s="115">
        <f>(39.06-2)*2.7-8.9*2.1-1.37*1.7</f>
        <v>79.040000000000006</v>
      </c>
      <c r="J369" s="115">
        <f>52.31*2.7-12.69*2.1</f>
        <v>114.59</v>
      </c>
      <c r="K369" s="115">
        <f>39.06*2.7-8.9*2.1-1.37*1.7</f>
        <v>84.44</v>
      </c>
      <c r="L369" s="115">
        <f>48.2*2.7-10.9*2.1</f>
        <v>107.25</v>
      </c>
      <c r="M369" s="115">
        <f>(39.06-2)*2.7-8.9*2.1-1.37*1.7</f>
        <v>79.040000000000006</v>
      </c>
      <c r="N369" s="104">
        <f>VLOOKUP(B369,'Форма КП'!$B$17:$G$25,5,FALSE)</f>
        <v>0</v>
      </c>
      <c r="O369" s="104">
        <f>N369*F369</f>
        <v>0</v>
      </c>
      <c r="P369" s="104"/>
      <c r="Q369" s="104"/>
      <c r="R369" s="104">
        <f>N369</f>
        <v>0</v>
      </c>
      <c r="S369" s="104">
        <f>N369*F369</f>
        <v>0</v>
      </c>
    </row>
    <row r="370" spans="1:19" x14ac:dyDescent="0.25">
      <c r="A370" s="132" t="s">
        <v>540</v>
      </c>
      <c r="B370" s="128" t="s">
        <v>484</v>
      </c>
      <c r="C370" s="133" t="s">
        <v>225</v>
      </c>
      <c r="D370" s="90">
        <v>0.15</v>
      </c>
      <c r="E370" s="132" t="s">
        <v>226</v>
      </c>
      <c r="F370" s="134">
        <f t="shared" si="204"/>
        <v>100.47</v>
      </c>
      <c r="G370" s="88">
        <f>G369*D370</f>
        <v>18.940000000000001</v>
      </c>
      <c r="H370" s="88">
        <f>H369*D370</f>
        <v>11.86</v>
      </c>
      <c r="I370" s="88">
        <f>I369*D370</f>
        <v>11.86</v>
      </c>
      <c r="J370" s="88">
        <f>J369*D370</f>
        <v>17.190000000000001</v>
      </c>
      <c r="K370" s="88">
        <f>K369*D370</f>
        <v>12.67</v>
      </c>
      <c r="L370" s="88">
        <f>L369*D370</f>
        <v>16.09</v>
      </c>
      <c r="M370" s="88">
        <f>M369*D370</f>
        <v>11.86</v>
      </c>
      <c r="N370" s="29"/>
      <c r="O370" s="29"/>
      <c r="P370" s="49" t="str">
        <f>VLOOKUP(B370,'Форма КП'!$B$27:$G$49,5,FALSE)</f>
        <v>Материал заказчика</v>
      </c>
      <c r="Q370" s="50"/>
      <c r="R370" s="49" t="str">
        <f t="shared" ref="R370:R371" si="214">P370</f>
        <v>Материал заказчика</v>
      </c>
      <c r="S370" s="50"/>
    </row>
    <row r="371" spans="1:19" x14ac:dyDescent="0.25">
      <c r="A371" s="132" t="s">
        <v>541</v>
      </c>
      <c r="B371" s="128" t="s">
        <v>514</v>
      </c>
      <c r="C371" s="133" t="s">
        <v>515</v>
      </c>
      <c r="D371" s="90">
        <v>5</v>
      </c>
      <c r="E371" s="132" t="s">
        <v>228</v>
      </c>
      <c r="F371" s="134">
        <f t="shared" si="204"/>
        <v>3348.3</v>
      </c>
      <c r="G371" s="88">
        <f>G369*D371</f>
        <v>631.29999999999995</v>
      </c>
      <c r="H371" s="88">
        <f>H369*D371</f>
        <v>395.2</v>
      </c>
      <c r="I371" s="88">
        <f>I369*D371</f>
        <v>395.2</v>
      </c>
      <c r="J371" s="88">
        <f>J369*D371</f>
        <v>572.95000000000005</v>
      </c>
      <c r="K371" s="88">
        <f>K369*D371</f>
        <v>422.2</v>
      </c>
      <c r="L371" s="88">
        <f>L369*D371</f>
        <v>536.25</v>
      </c>
      <c r="M371" s="88">
        <f>M369*D371</f>
        <v>395.2</v>
      </c>
      <c r="N371" s="29"/>
      <c r="O371" s="29"/>
      <c r="P371" s="49" t="str">
        <f>VLOOKUP(B371,'Форма КП'!$B$27:$G$49,5,FALSE)</f>
        <v>Материал заказчика</v>
      </c>
      <c r="Q371" s="50"/>
      <c r="R371" s="49" t="str">
        <f t="shared" si="214"/>
        <v>Материал заказчика</v>
      </c>
      <c r="S371" s="50"/>
    </row>
    <row r="372" spans="1:19" ht="156" x14ac:dyDescent="0.25">
      <c r="A372" s="127" t="s">
        <v>542</v>
      </c>
      <c r="B372" s="128" t="s">
        <v>493</v>
      </c>
      <c r="C372" s="129" t="s">
        <v>780</v>
      </c>
      <c r="D372" s="130"/>
      <c r="E372" s="127" t="s">
        <v>224</v>
      </c>
      <c r="F372" s="131">
        <f t="shared" si="204"/>
        <v>14.4</v>
      </c>
      <c r="G372" s="112">
        <f>0.2*2*6</f>
        <v>2.4</v>
      </c>
      <c r="H372" s="112">
        <f t="shared" ref="H372:M372" si="215">0.2*2*5</f>
        <v>2</v>
      </c>
      <c r="I372" s="112">
        <f t="shared" si="215"/>
        <v>2</v>
      </c>
      <c r="J372" s="112">
        <f t="shared" si="215"/>
        <v>2</v>
      </c>
      <c r="K372" s="112">
        <f t="shared" si="215"/>
        <v>2</v>
      </c>
      <c r="L372" s="112">
        <f t="shared" si="215"/>
        <v>2</v>
      </c>
      <c r="M372" s="112">
        <f t="shared" si="215"/>
        <v>2</v>
      </c>
      <c r="N372" s="104">
        <f>VLOOKUP(B372,'Форма КП'!$B$17:$G$25,5,FALSE)</f>
        <v>0</v>
      </c>
      <c r="O372" s="104">
        <f>N372*F372</f>
        <v>0</v>
      </c>
      <c r="P372" s="104"/>
      <c r="Q372" s="104"/>
      <c r="R372" s="104">
        <f>N372</f>
        <v>0</v>
      </c>
      <c r="S372" s="104">
        <f>N372*F372</f>
        <v>0</v>
      </c>
    </row>
    <row r="373" spans="1:19" x14ac:dyDescent="0.25">
      <c r="A373" s="132" t="s">
        <v>543</v>
      </c>
      <c r="B373" s="128" t="s">
        <v>484</v>
      </c>
      <c r="C373" s="133" t="s">
        <v>225</v>
      </c>
      <c r="D373" s="90">
        <v>0.15</v>
      </c>
      <c r="E373" s="132" t="s">
        <v>226</v>
      </c>
      <c r="F373" s="134">
        <f t="shared" si="204"/>
        <v>2.16</v>
      </c>
      <c r="G373" s="88">
        <f>G372*D373</f>
        <v>0.36</v>
      </c>
      <c r="H373" s="88">
        <f>H372*D373</f>
        <v>0.3</v>
      </c>
      <c r="I373" s="88">
        <f>I372*D373</f>
        <v>0.3</v>
      </c>
      <c r="J373" s="88">
        <f>J372*D373</f>
        <v>0.3</v>
      </c>
      <c r="K373" s="88">
        <f>K372*D373</f>
        <v>0.3</v>
      </c>
      <c r="L373" s="88">
        <f>L372*D373</f>
        <v>0.3</v>
      </c>
      <c r="M373" s="88">
        <f>M372*D373</f>
        <v>0.3</v>
      </c>
      <c r="N373" s="29"/>
      <c r="O373" s="29"/>
      <c r="P373" s="49" t="str">
        <f>VLOOKUP(B373,'Форма КП'!$B$27:$G$49,5,FALSE)</f>
        <v>Материал заказчика</v>
      </c>
      <c r="Q373" s="50"/>
      <c r="R373" s="49" t="str">
        <f t="shared" ref="R373:R376" si="216">P373</f>
        <v>Материал заказчика</v>
      </c>
      <c r="S373" s="50"/>
    </row>
    <row r="374" spans="1:19" x14ac:dyDescent="0.25">
      <c r="A374" s="132" t="s">
        <v>544</v>
      </c>
      <c r="B374" s="128" t="s">
        <v>496</v>
      </c>
      <c r="C374" s="133" t="s">
        <v>227</v>
      </c>
      <c r="D374" s="90">
        <v>10</v>
      </c>
      <c r="E374" s="132" t="s">
        <v>228</v>
      </c>
      <c r="F374" s="134">
        <f t="shared" si="204"/>
        <v>144</v>
      </c>
      <c r="G374" s="88">
        <f>G372*D374</f>
        <v>24</v>
      </c>
      <c r="H374" s="88">
        <f>H372*D374</f>
        <v>20</v>
      </c>
      <c r="I374" s="88">
        <f>I372*D374</f>
        <v>20</v>
      </c>
      <c r="J374" s="88">
        <f>J372*D374</f>
        <v>20</v>
      </c>
      <c r="K374" s="88">
        <f>K372*D374</f>
        <v>20</v>
      </c>
      <c r="L374" s="88">
        <f>L372*D374</f>
        <v>20</v>
      </c>
      <c r="M374" s="88">
        <f>M372*D374</f>
        <v>20</v>
      </c>
      <c r="N374" s="29"/>
      <c r="O374" s="29"/>
      <c r="P374" s="49" t="str">
        <f>VLOOKUP(B374,'Форма КП'!$B$27:$G$49,5,FALSE)</f>
        <v>Материал заказчика</v>
      </c>
      <c r="Q374" s="50"/>
      <c r="R374" s="49" t="str">
        <f t="shared" si="216"/>
        <v>Материал заказчика</v>
      </c>
      <c r="S374" s="50"/>
    </row>
    <row r="375" spans="1:19" x14ac:dyDescent="0.25">
      <c r="A375" s="132" t="s">
        <v>545</v>
      </c>
      <c r="B375" s="128" t="s">
        <v>523</v>
      </c>
      <c r="C375" s="133" t="s">
        <v>229</v>
      </c>
      <c r="D375" s="90">
        <v>0.2</v>
      </c>
      <c r="E375" s="132" t="s">
        <v>228</v>
      </c>
      <c r="F375" s="134">
        <f t="shared" si="204"/>
        <v>2.88</v>
      </c>
      <c r="G375" s="88">
        <f>G372*D375</f>
        <v>0.48</v>
      </c>
      <c r="H375" s="88">
        <f>H372*D375</f>
        <v>0.4</v>
      </c>
      <c r="I375" s="88">
        <f>I372*D375</f>
        <v>0.4</v>
      </c>
      <c r="J375" s="88">
        <f>J372*D375</f>
        <v>0.4</v>
      </c>
      <c r="K375" s="88">
        <f>K372*D375</f>
        <v>0.4</v>
      </c>
      <c r="L375" s="88">
        <f>L372*D375</f>
        <v>0.4</v>
      </c>
      <c r="M375" s="88">
        <f>M372*D375</f>
        <v>0.4</v>
      </c>
      <c r="N375" s="29"/>
      <c r="O375" s="29"/>
      <c r="P375" s="49" t="str">
        <f>VLOOKUP(B375,'Форма КП'!$B$27:$G$49,5,FALSE)</f>
        <v>Материал заказчика</v>
      </c>
      <c r="Q375" s="50"/>
      <c r="R375" s="49" t="str">
        <f t="shared" si="216"/>
        <v>Материал заказчика</v>
      </c>
      <c r="S375" s="50"/>
    </row>
    <row r="376" spans="1:19" x14ac:dyDescent="0.25">
      <c r="A376" s="132" t="s">
        <v>546</v>
      </c>
      <c r="B376" s="128" t="s">
        <v>501</v>
      </c>
      <c r="C376" s="133" t="s">
        <v>502</v>
      </c>
      <c r="D376" s="90">
        <v>1.05</v>
      </c>
      <c r="E376" s="132" t="s">
        <v>224</v>
      </c>
      <c r="F376" s="134">
        <f t="shared" si="204"/>
        <v>15.12</v>
      </c>
      <c r="G376" s="88">
        <f>G372*D376</f>
        <v>2.52</v>
      </c>
      <c r="H376" s="88">
        <f>H372*D376</f>
        <v>2.1</v>
      </c>
      <c r="I376" s="88">
        <f>I372*D376</f>
        <v>2.1</v>
      </c>
      <c r="J376" s="88">
        <f>J372*D376</f>
        <v>2.1</v>
      </c>
      <c r="K376" s="88">
        <f>K372*D376</f>
        <v>2.1</v>
      </c>
      <c r="L376" s="88">
        <f>L372*D376</f>
        <v>2.1</v>
      </c>
      <c r="M376" s="88">
        <f>M372*D376</f>
        <v>2.1</v>
      </c>
      <c r="N376" s="29"/>
      <c r="O376" s="29"/>
      <c r="P376" s="49" t="str">
        <f>VLOOKUP(B376,'Форма КП'!$B$27:$G$49,5,FALSE)</f>
        <v>Материал заказчика</v>
      </c>
      <c r="Q376" s="50"/>
      <c r="R376" s="49" t="str">
        <f t="shared" si="216"/>
        <v>Материал заказчика</v>
      </c>
      <c r="S376" s="50"/>
    </row>
    <row r="377" spans="1:19" ht="108" x14ac:dyDescent="0.25">
      <c r="A377" s="127" t="s">
        <v>547</v>
      </c>
      <c r="B377" s="128" t="s">
        <v>505</v>
      </c>
      <c r="C377" s="129" t="s">
        <v>779</v>
      </c>
      <c r="D377" s="130"/>
      <c r="E377" s="127" t="s">
        <v>224</v>
      </c>
      <c r="F377" s="131">
        <f t="shared" si="204"/>
        <v>247.76</v>
      </c>
      <c r="G377" s="113">
        <v>35.69</v>
      </c>
      <c r="H377" s="113">
        <v>35.18</v>
      </c>
      <c r="I377" s="113">
        <v>35.18</v>
      </c>
      <c r="J377" s="113">
        <v>35.659999999999997</v>
      </c>
      <c r="K377" s="113">
        <v>35.18</v>
      </c>
      <c r="L377" s="113">
        <v>35.69</v>
      </c>
      <c r="M377" s="113">
        <v>35.18</v>
      </c>
      <c r="N377" s="104">
        <f>VLOOKUP(B377,'Форма КП'!$B$17:$G$25,5,FALSE)</f>
        <v>0</v>
      </c>
      <c r="O377" s="104">
        <f>N377*F377</f>
        <v>0</v>
      </c>
      <c r="P377" s="104"/>
      <c r="Q377" s="104"/>
      <c r="R377" s="104">
        <f>N377</f>
        <v>0</v>
      </c>
      <c r="S377" s="104">
        <f>N377*F377</f>
        <v>0</v>
      </c>
    </row>
    <row r="378" spans="1:19" x14ac:dyDescent="0.25">
      <c r="A378" s="132" t="s">
        <v>548</v>
      </c>
      <c r="B378" s="128" t="s">
        <v>484</v>
      </c>
      <c r="C378" s="133" t="s">
        <v>225</v>
      </c>
      <c r="D378" s="90">
        <v>0.15</v>
      </c>
      <c r="E378" s="132" t="s">
        <v>226</v>
      </c>
      <c r="F378" s="134">
        <f t="shared" si="204"/>
        <v>37.17</v>
      </c>
      <c r="G378" s="88">
        <f>G377*D378</f>
        <v>5.35</v>
      </c>
      <c r="H378" s="88">
        <f>H377*D378</f>
        <v>5.28</v>
      </c>
      <c r="I378" s="88">
        <f>I377*D378</f>
        <v>5.28</v>
      </c>
      <c r="J378" s="88">
        <f>J377*D378</f>
        <v>5.35</v>
      </c>
      <c r="K378" s="88">
        <f>K377*D378</f>
        <v>5.28</v>
      </c>
      <c r="L378" s="88">
        <f>L377*D378</f>
        <v>5.35</v>
      </c>
      <c r="M378" s="88">
        <f>M377*D378</f>
        <v>5.28</v>
      </c>
      <c r="N378" s="29"/>
      <c r="O378" s="29"/>
      <c r="P378" s="49" t="str">
        <f>VLOOKUP(B378,'Форма КП'!$B$27:$G$49,5,FALSE)</f>
        <v>Материал заказчика</v>
      </c>
      <c r="Q378" s="50"/>
      <c r="R378" s="49" t="str">
        <f t="shared" ref="R378:R379" si="217">P378</f>
        <v>Материал заказчика</v>
      </c>
      <c r="S378" s="50"/>
    </row>
    <row r="379" spans="1:19" ht="24" x14ac:dyDescent="0.25">
      <c r="A379" s="132" t="s">
        <v>549</v>
      </c>
      <c r="B379" s="128" t="s">
        <v>506</v>
      </c>
      <c r="C379" s="133" t="s">
        <v>507</v>
      </c>
      <c r="D379" s="90">
        <v>0.25</v>
      </c>
      <c r="E379" s="132" t="s">
        <v>226</v>
      </c>
      <c r="F379" s="134">
        <f t="shared" si="204"/>
        <v>61.96</v>
      </c>
      <c r="G379" s="88">
        <f>G377*D379</f>
        <v>8.92</v>
      </c>
      <c r="H379" s="88">
        <f>H377*D379</f>
        <v>8.8000000000000007</v>
      </c>
      <c r="I379" s="88">
        <f>I377*D379</f>
        <v>8.8000000000000007</v>
      </c>
      <c r="J379" s="88">
        <f>J377*D379</f>
        <v>8.92</v>
      </c>
      <c r="K379" s="88">
        <f>K377*D379</f>
        <v>8.8000000000000007</v>
      </c>
      <c r="L379" s="88">
        <f>L377*D379</f>
        <v>8.92</v>
      </c>
      <c r="M379" s="88">
        <f>M377*D379</f>
        <v>8.8000000000000007</v>
      </c>
      <c r="N379" s="29"/>
      <c r="O379" s="29"/>
      <c r="P379" s="49" t="str">
        <f>VLOOKUP(B379,'Форма КП'!$B$27:$G$49,5,FALSE)</f>
        <v>Материал заказчика</v>
      </c>
      <c r="Q379" s="50"/>
      <c r="R379" s="49" t="str">
        <f t="shared" si="217"/>
        <v>Материал заказчика</v>
      </c>
      <c r="S379" s="50"/>
    </row>
    <row r="380" spans="1:19" ht="108" x14ac:dyDescent="0.25">
      <c r="A380" s="127" t="s">
        <v>550</v>
      </c>
      <c r="B380" s="128" t="s">
        <v>505</v>
      </c>
      <c r="C380" s="129" t="s">
        <v>779</v>
      </c>
      <c r="D380" s="130"/>
      <c r="E380" s="127" t="s">
        <v>224</v>
      </c>
      <c r="F380" s="131">
        <f t="shared" si="204"/>
        <v>45.92</v>
      </c>
      <c r="G380" s="113">
        <f t="shared" ref="G380:M380" si="218">2.43*2.7</f>
        <v>6.56</v>
      </c>
      <c r="H380" s="113">
        <f t="shared" si="218"/>
        <v>6.56</v>
      </c>
      <c r="I380" s="113">
        <f t="shared" si="218"/>
        <v>6.56</v>
      </c>
      <c r="J380" s="113">
        <f t="shared" si="218"/>
        <v>6.56</v>
      </c>
      <c r="K380" s="113">
        <f t="shared" si="218"/>
        <v>6.56</v>
      </c>
      <c r="L380" s="113">
        <f t="shared" si="218"/>
        <v>6.56</v>
      </c>
      <c r="M380" s="113">
        <f t="shared" si="218"/>
        <v>6.56</v>
      </c>
      <c r="N380" s="104">
        <f>VLOOKUP(B380,'Форма КП'!$B$17:$G$25,5,FALSE)</f>
        <v>0</v>
      </c>
      <c r="O380" s="104">
        <f>N380*F380</f>
        <v>0</v>
      </c>
      <c r="P380" s="104"/>
      <c r="Q380" s="104"/>
      <c r="R380" s="104">
        <f>N380</f>
        <v>0</v>
      </c>
      <c r="S380" s="104">
        <f>N380*F380</f>
        <v>0</v>
      </c>
    </row>
    <row r="381" spans="1:19" x14ac:dyDescent="0.25">
      <c r="A381" s="132" t="s">
        <v>551</v>
      </c>
      <c r="B381" s="128" t="s">
        <v>484</v>
      </c>
      <c r="C381" s="133" t="s">
        <v>225</v>
      </c>
      <c r="D381" s="90">
        <v>0.15</v>
      </c>
      <c r="E381" s="132" t="s">
        <v>226</v>
      </c>
      <c r="F381" s="134">
        <f t="shared" si="204"/>
        <v>6.86</v>
      </c>
      <c r="G381" s="88">
        <f>G380*D381</f>
        <v>0.98</v>
      </c>
      <c r="H381" s="88">
        <f>H380*D381</f>
        <v>0.98</v>
      </c>
      <c r="I381" s="88">
        <f>I380*D381</f>
        <v>0.98</v>
      </c>
      <c r="J381" s="88">
        <f>J380*D381</f>
        <v>0.98</v>
      </c>
      <c r="K381" s="88">
        <f>K380*D381</f>
        <v>0.98</v>
      </c>
      <c r="L381" s="88">
        <f>L380*D381</f>
        <v>0.98</v>
      </c>
      <c r="M381" s="88">
        <f>M380*D381</f>
        <v>0.98</v>
      </c>
      <c r="N381" s="29"/>
      <c r="O381" s="29"/>
      <c r="P381" s="49" t="str">
        <f>VLOOKUP(B381,'Форма КП'!$B$27:$G$49,5,FALSE)</f>
        <v>Материал заказчика</v>
      </c>
      <c r="Q381" s="50"/>
      <c r="R381" s="49" t="str">
        <f t="shared" ref="R381:R382" si="219">P381</f>
        <v>Материал заказчика</v>
      </c>
      <c r="S381" s="50"/>
    </row>
    <row r="382" spans="1:19" ht="24" x14ac:dyDescent="0.25">
      <c r="A382" s="132" t="s">
        <v>552</v>
      </c>
      <c r="B382" s="128" t="s">
        <v>508</v>
      </c>
      <c r="C382" s="133" t="s">
        <v>509</v>
      </c>
      <c r="D382" s="90">
        <v>0.25</v>
      </c>
      <c r="E382" s="132" t="s">
        <v>226</v>
      </c>
      <c r="F382" s="134">
        <f t="shared" si="204"/>
        <v>11.48</v>
      </c>
      <c r="G382" s="88">
        <f>G380*D382</f>
        <v>1.64</v>
      </c>
      <c r="H382" s="88">
        <f>H380*D382</f>
        <v>1.64</v>
      </c>
      <c r="I382" s="88">
        <f>I380*D382</f>
        <v>1.64</v>
      </c>
      <c r="J382" s="88">
        <f>J380*D382</f>
        <v>1.64</v>
      </c>
      <c r="K382" s="88">
        <f>K380*D382</f>
        <v>1.64</v>
      </c>
      <c r="L382" s="88">
        <f>L380*D382</f>
        <v>1.64</v>
      </c>
      <c r="M382" s="88">
        <f>M380*D382</f>
        <v>1.64</v>
      </c>
      <c r="N382" s="29"/>
      <c r="O382" s="29"/>
      <c r="P382" s="49" t="str">
        <f>VLOOKUP(B382,'Форма КП'!$B$27:$G$49,5,FALSE)</f>
        <v>Материал заказчика</v>
      </c>
      <c r="Q382" s="50"/>
      <c r="R382" s="49" t="str">
        <f t="shared" si="219"/>
        <v>Материал заказчика</v>
      </c>
      <c r="S382" s="50"/>
    </row>
    <row r="383" spans="1:19" x14ac:dyDescent="0.25">
      <c r="A383" s="126" t="s">
        <v>232</v>
      </c>
      <c r="B383" s="120"/>
      <c r="C383" s="121"/>
      <c r="D383" s="122"/>
      <c r="E383" s="123"/>
      <c r="F383" s="124"/>
      <c r="G383" s="125"/>
      <c r="H383" s="125"/>
      <c r="I383" s="125"/>
      <c r="J383" s="125"/>
      <c r="K383" s="125"/>
      <c r="L383" s="125"/>
      <c r="M383" s="125"/>
      <c r="N383" s="33"/>
      <c r="O383" s="33"/>
      <c r="P383" s="33"/>
      <c r="Q383" s="33"/>
      <c r="R383" s="33"/>
      <c r="S383" s="31"/>
    </row>
    <row r="384" spans="1:19" ht="216" x14ac:dyDescent="0.25">
      <c r="A384" s="127" t="s">
        <v>553</v>
      </c>
      <c r="B384" s="128" t="s">
        <v>510</v>
      </c>
      <c r="C384" s="129" t="s">
        <v>776</v>
      </c>
      <c r="D384" s="130"/>
      <c r="E384" s="127" t="s">
        <v>224</v>
      </c>
      <c r="F384" s="131">
        <f t="shared" ref="F384:F398" si="220">SUM(G384:M384)</f>
        <v>2475.61</v>
      </c>
      <c r="G384" s="113">
        <f>117.7*2.78+7.6*0.68+14.6*1.2+11.8*0.5+3.6*0.48</f>
        <v>357.52</v>
      </c>
      <c r="H384" s="113">
        <f>116.62*2.78+3*0.68+9.8*0.5+11.8*1.2+7.4*0.48</f>
        <v>348.86</v>
      </c>
      <c r="I384" s="113">
        <f>116.62*2.78+3*0.68+9.8*0.5+11.8*1.2+7.4*0.48</f>
        <v>348.86</v>
      </c>
      <c r="J384" s="113">
        <f>135.76*2.78+9.6*0.5+16.5*1.2+9.6*0.68+3.6*0.48</f>
        <v>410.27</v>
      </c>
      <c r="K384" s="116">
        <f>131.42*2.7-3*2.1-17.17*1.7-9.87*2.3+9.2*0.4</f>
        <v>300.32</v>
      </c>
      <c r="L384" s="116">
        <f>165.09*2.7-10.6*2.1-16.57*1.7-9.87*2.3+3.6*0.4</f>
        <v>374.05</v>
      </c>
      <c r="M384" s="116">
        <f>144.8*2.7-3*2.1-17.17*1.7-9.87*2.3+7.4*0.4</f>
        <v>335.73</v>
      </c>
      <c r="N384" s="104">
        <f>VLOOKUP(B384,'Форма КП'!$B$17:$G$25,5,FALSE)</f>
        <v>0</v>
      </c>
      <c r="O384" s="104">
        <f>N384*F384</f>
        <v>0</v>
      </c>
      <c r="P384" s="104"/>
      <c r="Q384" s="104"/>
      <c r="R384" s="104">
        <f>N384</f>
        <v>0</v>
      </c>
      <c r="S384" s="104">
        <f>N384*F384</f>
        <v>0</v>
      </c>
    </row>
    <row r="385" spans="1:19" x14ac:dyDescent="0.25">
      <c r="A385" s="132" t="s">
        <v>554</v>
      </c>
      <c r="B385" s="128" t="s">
        <v>486</v>
      </c>
      <c r="C385" s="133" t="s">
        <v>487</v>
      </c>
      <c r="D385" s="90">
        <v>1.45</v>
      </c>
      <c r="E385" s="132" t="s">
        <v>6</v>
      </c>
      <c r="F385" s="134">
        <f t="shared" si="220"/>
        <v>3589.63</v>
      </c>
      <c r="G385" s="88">
        <f>G384*D385</f>
        <v>518.4</v>
      </c>
      <c r="H385" s="88">
        <f>H384*D385</f>
        <v>505.85</v>
      </c>
      <c r="I385" s="88">
        <f>I384*D385</f>
        <v>505.85</v>
      </c>
      <c r="J385" s="88">
        <f>J384*D385</f>
        <v>594.89</v>
      </c>
      <c r="K385" s="106">
        <f>K384*D385</f>
        <v>435.46</v>
      </c>
      <c r="L385" s="106">
        <f>L384*D385</f>
        <v>542.37</v>
      </c>
      <c r="M385" s="106">
        <f>M384*D385</f>
        <v>486.81</v>
      </c>
      <c r="N385" s="29"/>
      <c r="O385" s="29"/>
      <c r="P385" s="86">
        <f>VLOOKUP(B385,'Форма КП'!$B$27:$G$49,5,FALSE)</f>
        <v>0</v>
      </c>
      <c r="Q385" s="86">
        <f t="shared" ref="Q385" si="221">P385*F385</f>
        <v>0</v>
      </c>
      <c r="R385" s="32">
        <f t="shared" ref="R385:R387" si="222">P385</f>
        <v>0</v>
      </c>
      <c r="S385" s="32">
        <f t="shared" ref="S385" si="223">P385*F385</f>
        <v>0</v>
      </c>
    </row>
    <row r="386" spans="1:19" x14ac:dyDescent="0.25">
      <c r="A386" s="132" t="s">
        <v>555</v>
      </c>
      <c r="B386" s="128" t="s">
        <v>488</v>
      </c>
      <c r="C386" s="133" t="s">
        <v>489</v>
      </c>
      <c r="D386" s="90">
        <v>0.2</v>
      </c>
      <c r="E386" s="132" t="s">
        <v>228</v>
      </c>
      <c r="F386" s="134">
        <f t="shared" si="220"/>
        <v>495.11</v>
      </c>
      <c r="G386" s="88">
        <f>G384*D386</f>
        <v>71.5</v>
      </c>
      <c r="H386" s="88">
        <f>H384*D386</f>
        <v>69.77</v>
      </c>
      <c r="I386" s="88">
        <f>I384*D386</f>
        <v>69.77</v>
      </c>
      <c r="J386" s="88">
        <f>J384*D386</f>
        <v>82.05</v>
      </c>
      <c r="K386" s="106">
        <f>(131.42*2.7-3*2.1-17.17*1.7-9.87*2.3+9.2*0.4)*D386</f>
        <v>60.06</v>
      </c>
      <c r="L386" s="106">
        <f>(165.09*2.7-10.6*2.1-16.57*1.7-9.87*2.3+3.6*0.4)*D386</f>
        <v>74.81</v>
      </c>
      <c r="M386" s="106">
        <f>(144.8*2.7-3*2.1-17.17*1.7-9.87*2.3+7.4*0.4)*D386</f>
        <v>67.150000000000006</v>
      </c>
      <c r="N386" s="29"/>
      <c r="O386" s="29"/>
      <c r="P386" s="49" t="str">
        <f>VLOOKUP(B386,'Форма КП'!$B$27:$G$49,5,FALSE)</f>
        <v>Материал заказчика</v>
      </c>
      <c r="Q386" s="50"/>
      <c r="R386" s="49" t="str">
        <f t="shared" si="222"/>
        <v>Материал заказчика</v>
      </c>
      <c r="S386" s="50"/>
    </row>
    <row r="387" spans="1:19" x14ac:dyDescent="0.25">
      <c r="A387" s="132" t="s">
        <v>556</v>
      </c>
      <c r="B387" s="128" t="s">
        <v>511</v>
      </c>
      <c r="C387" s="133" t="s">
        <v>512</v>
      </c>
      <c r="D387" s="90">
        <v>16</v>
      </c>
      <c r="E387" s="132" t="s">
        <v>228</v>
      </c>
      <c r="F387" s="134">
        <f t="shared" si="220"/>
        <v>39609.760000000002</v>
      </c>
      <c r="G387" s="88">
        <f>G384*D387</f>
        <v>5720.32</v>
      </c>
      <c r="H387" s="88">
        <f>H384*D387</f>
        <v>5581.76</v>
      </c>
      <c r="I387" s="88">
        <f>I384*D387</f>
        <v>5581.76</v>
      </c>
      <c r="J387" s="88">
        <f>J384*D387</f>
        <v>6564.32</v>
      </c>
      <c r="K387" s="106">
        <f>K384*D387</f>
        <v>4805.12</v>
      </c>
      <c r="L387" s="106">
        <f>L384*D387</f>
        <v>5984.8</v>
      </c>
      <c r="M387" s="106">
        <f>M384*D387</f>
        <v>5371.68</v>
      </c>
      <c r="N387" s="29"/>
      <c r="O387" s="29"/>
      <c r="P387" s="49" t="str">
        <f>VLOOKUP(B387,'Форма КП'!$B$27:$G$49,5,FALSE)</f>
        <v>Материал заказчика</v>
      </c>
      <c r="Q387" s="50"/>
      <c r="R387" s="49" t="str">
        <f t="shared" si="222"/>
        <v>Материал заказчика</v>
      </c>
      <c r="S387" s="50"/>
    </row>
    <row r="388" spans="1:19" ht="216" x14ac:dyDescent="0.25">
      <c r="A388" s="127" t="s">
        <v>557</v>
      </c>
      <c r="B388" s="128" t="s">
        <v>510</v>
      </c>
      <c r="C388" s="129" t="s">
        <v>776</v>
      </c>
      <c r="D388" s="130"/>
      <c r="E388" s="127" t="s">
        <v>224</v>
      </c>
      <c r="F388" s="131">
        <f t="shared" si="220"/>
        <v>2310.37</v>
      </c>
      <c r="G388" s="113">
        <f>130*2.78+21.6*0.68</f>
        <v>376.09</v>
      </c>
      <c r="H388" s="113">
        <f>111.56*2.78+17.8*0.68</f>
        <v>322.24</v>
      </c>
      <c r="I388" s="113">
        <f>111.56*2.78+17.8*0.68</f>
        <v>322.24</v>
      </c>
      <c r="J388" s="113">
        <f>121*2.78+25.2*0.68</f>
        <v>353.52</v>
      </c>
      <c r="K388" s="116">
        <f>118.52*2.7-16*2.1</f>
        <v>286.39999999999998</v>
      </c>
      <c r="L388" s="116">
        <f>148.27*2.7-25.4*2.1</f>
        <v>346.99</v>
      </c>
      <c r="M388" s="116">
        <f>125.87*2.7-17.6*2.1</f>
        <v>302.89</v>
      </c>
      <c r="N388" s="104">
        <f>VLOOKUP(B388,'Форма КП'!$B$17:$G$25,5,FALSE)</f>
        <v>0</v>
      </c>
      <c r="O388" s="104">
        <f>N388*F388</f>
        <v>0</v>
      </c>
      <c r="P388" s="104"/>
      <c r="Q388" s="104"/>
      <c r="R388" s="104">
        <f>N388</f>
        <v>0</v>
      </c>
      <c r="S388" s="104">
        <f>N388*F388</f>
        <v>0</v>
      </c>
    </row>
    <row r="389" spans="1:19" x14ac:dyDescent="0.25">
      <c r="A389" s="132" t="s">
        <v>558</v>
      </c>
      <c r="B389" s="128" t="s">
        <v>486</v>
      </c>
      <c r="C389" s="133" t="s">
        <v>487</v>
      </c>
      <c r="D389" s="90">
        <v>1.45</v>
      </c>
      <c r="E389" s="132" t="s">
        <v>6</v>
      </c>
      <c r="F389" s="134">
        <f t="shared" si="220"/>
        <v>3350.04</v>
      </c>
      <c r="G389" s="88">
        <f>G388*D389</f>
        <v>545.33000000000004</v>
      </c>
      <c r="H389" s="88">
        <f>H388*D389</f>
        <v>467.25</v>
      </c>
      <c r="I389" s="88">
        <f>I388*D389</f>
        <v>467.25</v>
      </c>
      <c r="J389" s="88">
        <f>J388*D389</f>
        <v>512.6</v>
      </c>
      <c r="K389" s="106">
        <f>K388*D389</f>
        <v>415.28</v>
      </c>
      <c r="L389" s="106">
        <f>L388*D389</f>
        <v>503.14</v>
      </c>
      <c r="M389" s="106">
        <f>M388*D389</f>
        <v>439.19</v>
      </c>
      <c r="N389" s="29"/>
      <c r="O389" s="29"/>
      <c r="P389" s="86">
        <f>VLOOKUP(B389,'Форма КП'!$B$27:$G$49,5,FALSE)</f>
        <v>0</v>
      </c>
      <c r="Q389" s="86">
        <f t="shared" ref="Q389" si="224">P389*F389</f>
        <v>0</v>
      </c>
      <c r="R389" s="32">
        <f t="shared" ref="R389:R391" si="225">P389</f>
        <v>0</v>
      </c>
      <c r="S389" s="32">
        <f t="shared" ref="S389" si="226">P389*F389</f>
        <v>0</v>
      </c>
    </row>
    <row r="390" spans="1:19" x14ac:dyDescent="0.25">
      <c r="A390" s="132" t="s">
        <v>559</v>
      </c>
      <c r="B390" s="128" t="s">
        <v>484</v>
      </c>
      <c r="C390" s="133" t="s">
        <v>225</v>
      </c>
      <c r="D390" s="90">
        <v>0.4</v>
      </c>
      <c r="E390" s="132" t="s">
        <v>226</v>
      </c>
      <c r="F390" s="134">
        <f t="shared" si="220"/>
        <v>924.17</v>
      </c>
      <c r="G390" s="88">
        <f>G388*D390</f>
        <v>150.44</v>
      </c>
      <c r="H390" s="88">
        <f>H388*D390</f>
        <v>128.9</v>
      </c>
      <c r="I390" s="88">
        <f>I388*D390</f>
        <v>128.9</v>
      </c>
      <c r="J390" s="88">
        <f>J388*D390</f>
        <v>141.41</v>
      </c>
      <c r="K390" s="106">
        <f>(118.52*2.7-16*2.1)*D390</f>
        <v>114.56</v>
      </c>
      <c r="L390" s="106">
        <f>(148.27*2.7-25.4*2.1)*D390</f>
        <v>138.80000000000001</v>
      </c>
      <c r="M390" s="106">
        <f>(125.87*2.7-17.6*2.1)*D390</f>
        <v>121.16</v>
      </c>
      <c r="N390" s="29"/>
      <c r="O390" s="29"/>
      <c r="P390" s="49" t="str">
        <f>VLOOKUP(B390,'Форма КП'!$B$27:$G$49,5,FALSE)</f>
        <v>Материал заказчика</v>
      </c>
      <c r="Q390" s="50"/>
      <c r="R390" s="49" t="str">
        <f t="shared" si="225"/>
        <v>Материал заказчика</v>
      </c>
      <c r="S390" s="50"/>
    </row>
    <row r="391" spans="1:19" x14ac:dyDescent="0.25">
      <c r="A391" s="132" t="s">
        <v>560</v>
      </c>
      <c r="B391" s="128" t="s">
        <v>511</v>
      </c>
      <c r="C391" s="133" t="s">
        <v>512</v>
      </c>
      <c r="D391" s="90">
        <v>16</v>
      </c>
      <c r="E391" s="132" t="s">
        <v>228</v>
      </c>
      <c r="F391" s="134">
        <f t="shared" si="220"/>
        <v>36965.919999999998</v>
      </c>
      <c r="G391" s="88">
        <f>G388*D391</f>
        <v>6017.44</v>
      </c>
      <c r="H391" s="88">
        <f>H388*D391</f>
        <v>5155.84</v>
      </c>
      <c r="I391" s="88">
        <f>I388*D391</f>
        <v>5155.84</v>
      </c>
      <c r="J391" s="88">
        <f>J388*D391</f>
        <v>5656.32</v>
      </c>
      <c r="K391" s="106">
        <f>K388*D391</f>
        <v>4582.3999999999996</v>
      </c>
      <c r="L391" s="106">
        <f>L388*D391</f>
        <v>5551.84</v>
      </c>
      <c r="M391" s="106">
        <f>M388*D391</f>
        <v>4846.24</v>
      </c>
      <c r="N391" s="29"/>
      <c r="O391" s="29"/>
      <c r="P391" s="49" t="str">
        <f>VLOOKUP(B391,'Форма КП'!$B$27:$G$49,5,FALSE)</f>
        <v>Материал заказчика</v>
      </c>
      <c r="Q391" s="50"/>
      <c r="R391" s="49" t="str">
        <f t="shared" si="225"/>
        <v>Материал заказчика</v>
      </c>
      <c r="S391" s="50"/>
    </row>
    <row r="392" spans="1:19" ht="132" x14ac:dyDescent="0.25">
      <c r="A392" s="127" t="s">
        <v>561</v>
      </c>
      <c r="B392" s="128" t="s">
        <v>481</v>
      </c>
      <c r="C392" s="129" t="s">
        <v>778</v>
      </c>
      <c r="D392" s="130"/>
      <c r="E392" s="127" t="s">
        <v>224</v>
      </c>
      <c r="F392" s="131">
        <f t="shared" si="220"/>
        <v>2093.27</v>
      </c>
      <c r="G392" s="116">
        <f>G388+G384</f>
        <v>733.61</v>
      </c>
      <c r="H392" s="116"/>
      <c r="I392" s="116"/>
      <c r="J392" s="116"/>
      <c r="K392" s="116"/>
      <c r="L392" s="116">
        <f>L384+L388</f>
        <v>721.04</v>
      </c>
      <c r="M392" s="116">
        <f>M384+M388</f>
        <v>638.62</v>
      </c>
      <c r="N392" s="104">
        <f>VLOOKUP(B392,'Форма КП'!$B$17:$G$25,5,FALSE)</f>
        <v>0</v>
      </c>
      <c r="O392" s="104">
        <f>N392*F392</f>
        <v>0</v>
      </c>
      <c r="P392" s="104"/>
      <c r="Q392" s="104"/>
      <c r="R392" s="104">
        <f>N392</f>
        <v>0</v>
      </c>
      <c r="S392" s="104">
        <f>N392*F392</f>
        <v>0</v>
      </c>
    </row>
    <row r="393" spans="1:19" x14ac:dyDescent="0.25">
      <c r="A393" s="132" t="s">
        <v>562</v>
      </c>
      <c r="B393" s="128" t="s">
        <v>482</v>
      </c>
      <c r="C393" s="133" t="s">
        <v>483</v>
      </c>
      <c r="D393" s="136">
        <v>2.4</v>
      </c>
      <c r="E393" s="132" t="s">
        <v>228</v>
      </c>
      <c r="F393" s="134">
        <f t="shared" si="220"/>
        <v>5023.8500000000004</v>
      </c>
      <c r="G393" s="88">
        <f>G392*D393</f>
        <v>1760.66</v>
      </c>
      <c r="H393" s="88">
        <f>H392*D393</f>
        <v>0</v>
      </c>
      <c r="I393" s="88">
        <f>I392*D393</f>
        <v>0</v>
      </c>
      <c r="J393" s="88">
        <f>J392*D393</f>
        <v>0</v>
      </c>
      <c r="K393" s="106">
        <f>K392*D393</f>
        <v>0</v>
      </c>
      <c r="L393" s="106">
        <f>L392*D393</f>
        <v>1730.5</v>
      </c>
      <c r="M393" s="106">
        <f>M392*D393</f>
        <v>1532.69</v>
      </c>
      <c r="N393" s="29"/>
      <c r="O393" s="29"/>
      <c r="P393" s="49" t="str">
        <f>VLOOKUP(B393,'Форма КП'!$B$27:$G$49,5,FALSE)</f>
        <v>Материал заказчика</v>
      </c>
      <c r="Q393" s="50"/>
      <c r="R393" s="49" t="str">
        <f t="shared" ref="R393:R394" si="227">P393</f>
        <v>Материал заказчика</v>
      </c>
      <c r="S393" s="50"/>
    </row>
    <row r="394" spans="1:19" x14ac:dyDescent="0.25">
      <c r="A394" s="132" t="s">
        <v>563</v>
      </c>
      <c r="B394" s="128" t="s">
        <v>484</v>
      </c>
      <c r="C394" s="133" t="s">
        <v>225</v>
      </c>
      <c r="D394" s="136">
        <v>0.15</v>
      </c>
      <c r="E394" s="132" t="s">
        <v>226</v>
      </c>
      <c r="F394" s="134">
        <f t="shared" si="220"/>
        <v>313.99</v>
      </c>
      <c r="G394" s="88">
        <f>G392*D394</f>
        <v>110.04</v>
      </c>
      <c r="H394" s="88">
        <f>H392*D394</f>
        <v>0</v>
      </c>
      <c r="I394" s="88">
        <f>I392*D394</f>
        <v>0</v>
      </c>
      <c r="J394" s="88">
        <f>J392*D394</f>
        <v>0</v>
      </c>
      <c r="K394" s="106">
        <f>K392*D394</f>
        <v>0</v>
      </c>
      <c r="L394" s="106">
        <f>L392*D394</f>
        <v>108.16</v>
      </c>
      <c r="M394" s="106">
        <f>M392*D394</f>
        <v>95.79</v>
      </c>
      <c r="N394" s="29"/>
      <c r="O394" s="29"/>
      <c r="P394" s="49" t="str">
        <f>VLOOKUP(B394,'Форма КП'!$B$27:$G$49,5,FALSE)</f>
        <v>Материал заказчика</v>
      </c>
      <c r="Q394" s="50"/>
      <c r="R394" s="49" t="str">
        <f t="shared" si="227"/>
        <v>Материал заказчика</v>
      </c>
      <c r="S394" s="50"/>
    </row>
    <row r="395" spans="1:19" ht="264" x14ac:dyDescent="0.25">
      <c r="A395" s="127" t="s">
        <v>564</v>
      </c>
      <c r="B395" s="128" t="s">
        <v>474</v>
      </c>
      <c r="C395" s="129" t="s">
        <v>782</v>
      </c>
      <c r="D395" s="130"/>
      <c r="E395" s="127" t="s">
        <v>224</v>
      </c>
      <c r="F395" s="131">
        <f t="shared" si="220"/>
        <v>111.86</v>
      </c>
      <c r="G395" s="115">
        <f>6.66*2.75+1.02*2.81</f>
        <v>21.18</v>
      </c>
      <c r="H395" s="115">
        <f>3.48*2.75</f>
        <v>9.57</v>
      </c>
      <c r="I395" s="115">
        <f>3.48*2.75</f>
        <v>9.57</v>
      </c>
      <c r="J395" s="115">
        <f>8.69*2.75</f>
        <v>23.9</v>
      </c>
      <c r="K395" s="115">
        <f>3.48*2.75</f>
        <v>9.57</v>
      </c>
      <c r="L395" s="115">
        <f>6.39*2.75+1.05*2.81</f>
        <v>20.52</v>
      </c>
      <c r="M395" s="115">
        <f>3.95*2.75+2.38*2.81</f>
        <v>17.55</v>
      </c>
      <c r="N395" s="104">
        <f>VLOOKUP(B395,'Форма КП'!$B$17:$G$25,5,FALSE)</f>
        <v>0</v>
      </c>
      <c r="O395" s="104">
        <f>N395*F395</f>
        <v>0</v>
      </c>
      <c r="P395" s="104"/>
      <c r="Q395" s="104"/>
      <c r="R395" s="104">
        <f>N395</f>
        <v>0</v>
      </c>
      <c r="S395" s="104">
        <f>N395*F395</f>
        <v>0</v>
      </c>
    </row>
    <row r="396" spans="1:19" x14ac:dyDescent="0.25">
      <c r="A396" s="132" t="s">
        <v>565</v>
      </c>
      <c r="B396" s="128" t="s">
        <v>524</v>
      </c>
      <c r="C396" s="133" t="s">
        <v>525</v>
      </c>
      <c r="D396" s="90">
        <v>2.25</v>
      </c>
      <c r="E396" s="132" t="s">
        <v>224</v>
      </c>
      <c r="F396" s="134">
        <f t="shared" si="220"/>
        <v>251.69</v>
      </c>
      <c r="G396" s="88">
        <f>G395*D396</f>
        <v>47.66</v>
      </c>
      <c r="H396" s="88">
        <f>H395*D396</f>
        <v>21.53</v>
      </c>
      <c r="I396" s="88">
        <f>I395*D396</f>
        <v>21.53</v>
      </c>
      <c r="J396" s="88">
        <f>J395*D396</f>
        <v>53.78</v>
      </c>
      <c r="K396" s="106">
        <f>K395*D396</f>
        <v>21.53</v>
      </c>
      <c r="L396" s="106">
        <f>L395*D396</f>
        <v>46.17</v>
      </c>
      <c r="M396" s="106">
        <f>M395*D396</f>
        <v>39.49</v>
      </c>
      <c r="N396" s="29"/>
      <c r="O396" s="29"/>
      <c r="P396" s="86">
        <f>VLOOKUP(B396,'Форма КП'!$B$27:$G$49,5,FALSE)</f>
        <v>0</v>
      </c>
      <c r="Q396" s="86">
        <f t="shared" ref="Q396:Q398" si="228">P396*F396</f>
        <v>0</v>
      </c>
      <c r="R396" s="32">
        <f t="shared" ref="R396:R398" si="229">P396</f>
        <v>0</v>
      </c>
      <c r="S396" s="32">
        <f t="shared" ref="S396:S398" si="230">P396*F396</f>
        <v>0</v>
      </c>
    </row>
    <row r="397" spans="1:19" x14ac:dyDescent="0.25">
      <c r="A397" s="132" t="s">
        <v>566</v>
      </c>
      <c r="B397" s="128" t="s">
        <v>477</v>
      </c>
      <c r="C397" s="133" t="s">
        <v>478</v>
      </c>
      <c r="D397" s="90">
        <v>0.86</v>
      </c>
      <c r="E397" s="132" t="s">
        <v>6</v>
      </c>
      <c r="F397" s="134">
        <f t="shared" si="220"/>
        <v>96.19</v>
      </c>
      <c r="G397" s="88">
        <f>G395*D397</f>
        <v>18.21</v>
      </c>
      <c r="H397" s="88">
        <f>H395*D397</f>
        <v>8.23</v>
      </c>
      <c r="I397" s="88">
        <f>I395*D397</f>
        <v>8.23</v>
      </c>
      <c r="J397" s="88">
        <f>J395*D397</f>
        <v>20.55</v>
      </c>
      <c r="K397" s="106">
        <f>K395*D397</f>
        <v>8.23</v>
      </c>
      <c r="L397" s="106">
        <f>L395*D397</f>
        <v>17.649999999999999</v>
      </c>
      <c r="M397" s="106">
        <f>M395*D397</f>
        <v>15.09</v>
      </c>
      <c r="N397" s="29"/>
      <c r="O397" s="29"/>
      <c r="P397" s="86">
        <f>VLOOKUP(B397,'Форма КП'!$B$27:$G$49,5,FALSE)</f>
        <v>0</v>
      </c>
      <c r="Q397" s="86">
        <f t="shared" si="228"/>
        <v>0</v>
      </c>
      <c r="R397" s="32">
        <f t="shared" si="229"/>
        <v>0</v>
      </c>
      <c r="S397" s="32">
        <f t="shared" si="230"/>
        <v>0</v>
      </c>
    </row>
    <row r="398" spans="1:19" x14ac:dyDescent="0.25">
      <c r="A398" s="132" t="s">
        <v>567</v>
      </c>
      <c r="B398" s="128" t="s">
        <v>479</v>
      </c>
      <c r="C398" s="133" t="s">
        <v>480</v>
      </c>
      <c r="D398" s="90">
        <v>2.34</v>
      </c>
      <c r="E398" s="132" t="s">
        <v>6</v>
      </c>
      <c r="F398" s="134">
        <f t="shared" si="220"/>
        <v>261.75</v>
      </c>
      <c r="G398" s="88">
        <f>G395*D398</f>
        <v>49.56</v>
      </c>
      <c r="H398" s="88">
        <f>H395*D398</f>
        <v>22.39</v>
      </c>
      <c r="I398" s="88">
        <f>I395*D398</f>
        <v>22.39</v>
      </c>
      <c r="J398" s="88">
        <f>J395*D398</f>
        <v>55.93</v>
      </c>
      <c r="K398" s="106">
        <f>K395*D398</f>
        <v>22.39</v>
      </c>
      <c r="L398" s="106">
        <f>L395*D398</f>
        <v>48.02</v>
      </c>
      <c r="M398" s="106">
        <f>M395*D398</f>
        <v>41.07</v>
      </c>
      <c r="N398" s="29"/>
      <c r="O398" s="29"/>
      <c r="P398" s="86">
        <f>VLOOKUP(B398,'Форма КП'!$B$27:$G$49,5,FALSE)</f>
        <v>0</v>
      </c>
      <c r="Q398" s="86">
        <f t="shared" si="228"/>
        <v>0</v>
      </c>
      <c r="R398" s="32">
        <f t="shared" si="229"/>
        <v>0</v>
      </c>
      <c r="S398" s="32">
        <f t="shared" si="230"/>
        <v>0</v>
      </c>
    </row>
    <row r="399" spans="1:19" x14ac:dyDescent="0.25">
      <c r="A399" s="119" t="s">
        <v>343</v>
      </c>
      <c r="B399" s="120"/>
      <c r="C399" s="121"/>
      <c r="D399" s="122"/>
      <c r="E399" s="123"/>
      <c r="F399" s="124"/>
      <c r="G399" s="125"/>
      <c r="H399" s="125"/>
      <c r="I399" s="125"/>
      <c r="J399" s="125"/>
      <c r="K399" s="125"/>
      <c r="L399" s="125"/>
      <c r="M399" s="125"/>
      <c r="N399" s="33"/>
      <c r="O399" s="33"/>
      <c r="P399" s="33"/>
      <c r="Q399" s="33"/>
      <c r="R399" s="33"/>
      <c r="S399" s="31"/>
    </row>
    <row r="400" spans="1:19" x14ac:dyDescent="0.25">
      <c r="A400" s="126" t="s">
        <v>223</v>
      </c>
      <c r="B400" s="120"/>
      <c r="C400" s="121"/>
      <c r="D400" s="122"/>
      <c r="E400" s="123"/>
      <c r="F400" s="124"/>
      <c r="G400" s="125"/>
      <c r="H400" s="125"/>
      <c r="I400" s="125"/>
      <c r="J400" s="125"/>
      <c r="K400" s="125"/>
      <c r="L400" s="125"/>
      <c r="M400" s="125"/>
      <c r="N400" s="33"/>
      <c r="O400" s="33"/>
      <c r="P400" s="33"/>
      <c r="Q400" s="33"/>
      <c r="R400" s="33"/>
      <c r="S400" s="31"/>
    </row>
    <row r="401" spans="1:19" ht="264" x14ac:dyDescent="0.25">
      <c r="A401" s="127" t="s">
        <v>568</v>
      </c>
      <c r="B401" s="128" t="s">
        <v>474</v>
      </c>
      <c r="C401" s="129" t="s">
        <v>782</v>
      </c>
      <c r="D401" s="130"/>
      <c r="E401" s="127" t="s">
        <v>224</v>
      </c>
      <c r="F401" s="131">
        <f t="shared" ref="F401:F426" si="231">SUM(G401:M401)</f>
        <v>187.58</v>
      </c>
      <c r="G401" s="113">
        <f>6.46*2.81-2.4*2.3+4.94*2.81</f>
        <v>26.51</v>
      </c>
      <c r="H401" s="113">
        <f>6.46*2.81-2.4*2.3+5.1*2.81</f>
        <v>26.96</v>
      </c>
      <c r="I401" s="113">
        <f>6.46*2.81-2.4*2.3+5.1*2.81</f>
        <v>26.96</v>
      </c>
      <c r="J401" s="113">
        <f>6.46*2.81-2.4*2.3+5.02*2.81</f>
        <v>26.74</v>
      </c>
      <c r="K401" s="113">
        <f>6.46*2.81-2.4*2.3+5.1*2.81</f>
        <v>26.96</v>
      </c>
      <c r="L401" s="113">
        <f>6.46*2.81-2.4*2.3+4.93*2.81</f>
        <v>26.49</v>
      </c>
      <c r="M401" s="113">
        <f>6.46*2.81-2.4*2.3+5.1*2.81</f>
        <v>26.96</v>
      </c>
      <c r="N401" s="104">
        <f>VLOOKUP(B401,'Форма КП'!$B$17:$G$25,5,FALSE)</f>
        <v>0</v>
      </c>
      <c r="O401" s="104">
        <f>N401*F401</f>
        <v>0</v>
      </c>
      <c r="P401" s="104"/>
      <c r="Q401" s="104"/>
      <c r="R401" s="104">
        <f>N401</f>
        <v>0</v>
      </c>
      <c r="S401" s="104">
        <f>N401*F401</f>
        <v>0</v>
      </c>
    </row>
    <row r="402" spans="1:19" x14ac:dyDescent="0.25">
      <c r="A402" s="132" t="s">
        <v>569</v>
      </c>
      <c r="B402" s="128" t="s">
        <v>475</v>
      </c>
      <c r="C402" s="133" t="s">
        <v>476</v>
      </c>
      <c r="D402" s="90">
        <v>2.25</v>
      </c>
      <c r="E402" s="132" t="s">
        <v>224</v>
      </c>
      <c r="F402" s="134">
        <f t="shared" si="231"/>
        <v>422.06</v>
      </c>
      <c r="G402" s="88">
        <f>G401*D402</f>
        <v>59.65</v>
      </c>
      <c r="H402" s="88">
        <f>H401*D402</f>
        <v>60.66</v>
      </c>
      <c r="I402" s="88">
        <f>I401*D402</f>
        <v>60.66</v>
      </c>
      <c r="J402" s="88">
        <f>J401*D402</f>
        <v>60.17</v>
      </c>
      <c r="K402" s="88">
        <f>K401*D402</f>
        <v>60.66</v>
      </c>
      <c r="L402" s="88">
        <f>L401*D402</f>
        <v>59.6</v>
      </c>
      <c r="M402" s="88">
        <f>M401*D402</f>
        <v>60.66</v>
      </c>
      <c r="N402" s="29"/>
      <c r="O402" s="29"/>
      <c r="P402" s="86">
        <f>VLOOKUP(B402,'Форма КП'!$B$27:$G$49,5,FALSE)</f>
        <v>0</v>
      </c>
      <c r="Q402" s="86">
        <f t="shared" ref="Q402:Q404" si="232">P402*F402</f>
        <v>0</v>
      </c>
      <c r="R402" s="32">
        <f t="shared" ref="R402:R404" si="233">P402</f>
        <v>0</v>
      </c>
      <c r="S402" s="32">
        <f t="shared" ref="S402:S404" si="234">P402*F402</f>
        <v>0</v>
      </c>
    </row>
    <row r="403" spans="1:19" x14ac:dyDescent="0.25">
      <c r="A403" s="132" t="s">
        <v>570</v>
      </c>
      <c r="B403" s="128" t="s">
        <v>477</v>
      </c>
      <c r="C403" s="133" t="s">
        <v>478</v>
      </c>
      <c r="D403" s="90">
        <v>0.86</v>
      </c>
      <c r="E403" s="132" t="s">
        <v>6</v>
      </c>
      <c r="F403" s="134">
        <f t="shared" si="231"/>
        <v>161.34</v>
      </c>
      <c r="G403" s="88">
        <f>G401*D403</f>
        <v>22.8</v>
      </c>
      <c r="H403" s="88">
        <f>H401*D403</f>
        <v>23.19</v>
      </c>
      <c r="I403" s="88">
        <f>I401*D403</f>
        <v>23.19</v>
      </c>
      <c r="J403" s="88">
        <f>J401*D403</f>
        <v>23</v>
      </c>
      <c r="K403" s="88">
        <f>K401*D403</f>
        <v>23.19</v>
      </c>
      <c r="L403" s="88">
        <f>L401*D403</f>
        <v>22.78</v>
      </c>
      <c r="M403" s="88">
        <f>M401*D403</f>
        <v>23.19</v>
      </c>
      <c r="N403" s="29"/>
      <c r="O403" s="29"/>
      <c r="P403" s="86">
        <f>VLOOKUP(B403,'Форма КП'!$B$27:$G$49,5,FALSE)</f>
        <v>0</v>
      </c>
      <c r="Q403" s="86">
        <f t="shared" si="232"/>
        <v>0</v>
      </c>
      <c r="R403" s="32">
        <f t="shared" si="233"/>
        <v>0</v>
      </c>
      <c r="S403" s="32">
        <f t="shared" si="234"/>
        <v>0</v>
      </c>
    </row>
    <row r="404" spans="1:19" x14ac:dyDescent="0.25">
      <c r="A404" s="132" t="s">
        <v>571</v>
      </c>
      <c r="B404" s="128" t="s">
        <v>479</v>
      </c>
      <c r="C404" s="133" t="s">
        <v>480</v>
      </c>
      <c r="D404" s="90">
        <v>2.34</v>
      </c>
      <c r="E404" s="132" t="s">
        <v>6</v>
      </c>
      <c r="F404" s="134">
        <f t="shared" si="231"/>
        <v>438.95</v>
      </c>
      <c r="G404" s="88">
        <f>G401*D404</f>
        <v>62.03</v>
      </c>
      <c r="H404" s="88">
        <f>H401*D404</f>
        <v>63.09</v>
      </c>
      <c r="I404" s="88">
        <f>I401*D404</f>
        <v>63.09</v>
      </c>
      <c r="J404" s="88">
        <f>J401*D404</f>
        <v>62.57</v>
      </c>
      <c r="K404" s="88">
        <f>K401*D404</f>
        <v>63.09</v>
      </c>
      <c r="L404" s="88">
        <f>L401*D404</f>
        <v>61.99</v>
      </c>
      <c r="M404" s="88">
        <f>M401*D404</f>
        <v>63.09</v>
      </c>
      <c r="N404" s="29"/>
      <c r="O404" s="29"/>
      <c r="P404" s="86">
        <f>VLOOKUP(B404,'Форма КП'!$B$27:$G$49,5,FALSE)</f>
        <v>0</v>
      </c>
      <c r="Q404" s="86">
        <f t="shared" si="232"/>
        <v>0</v>
      </c>
      <c r="R404" s="32">
        <f t="shared" si="233"/>
        <v>0</v>
      </c>
      <c r="S404" s="32">
        <f t="shared" si="234"/>
        <v>0</v>
      </c>
    </row>
    <row r="405" spans="1:19" ht="216" x14ac:dyDescent="0.25">
      <c r="A405" s="127" t="s">
        <v>572</v>
      </c>
      <c r="B405" s="128" t="s">
        <v>510</v>
      </c>
      <c r="C405" s="129" t="s">
        <v>776</v>
      </c>
      <c r="D405" s="130"/>
      <c r="E405" s="127" t="s">
        <v>224</v>
      </c>
      <c r="F405" s="131">
        <f t="shared" si="231"/>
        <v>767.22</v>
      </c>
      <c r="G405" s="113">
        <f>(64.23-2)*2.7-12.99*2.1-1.37*1.7</f>
        <v>138.41</v>
      </c>
      <c r="H405" s="113">
        <f>(45.78-2)*2.7-8.2*2.1-3.05*1.7</f>
        <v>95.8</v>
      </c>
      <c r="I405" s="113">
        <f>(45.78-2)*2.7-8.2*2.1-3.05*1.7</f>
        <v>95.8</v>
      </c>
      <c r="J405" s="113">
        <f>(58-2)*2.7-11.99*2.1-1.37*1.7</f>
        <v>123.69</v>
      </c>
      <c r="K405" s="113">
        <f>(45.79-2)*2.7-8.2*2.1-3.05*1.7</f>
        <v>95.83</v>
      </c>
      <c r="L405" s="113">
        <f>(55.94-2)*2.7-10.2*2.1-1.37*1.7</f>
        <v>121.89</v>
      </c>
      <c r="M405" s="113">
        <f>(45.78-2)*2.7-3.05*1.7-8.2*2.1</f>
        <v>95.8</v>
      </c>
      <c r="N405" s="104">
        <f>VLOOKUP(B405,'Форма КП'!$B$17:$G$25,5,FALSE)</f>
        <v>0</v>
      </c>
      <c r="O405" s="104">
        <f>N405*F405</f>
        <v>0</v>
      </c>
      <c r="P405" s="104"/>
      <c r="Q405" s="104"/>
      <c r="R405" s="104">
        <f>N405</f>
        <v>0</v>
      </c>
      <c r="S405" s="104">
        <f>N405*F405</f>
        <v>0</v>
      </c>
    </row>
    <row r="406" spans="1:19" x14ac:dyDescent="0.25">
      <c r="A406" s="132" t="s">
        <v>573</v>
      </c>
      <c r="B406" s="128" t="s">
        <v>486</v>
      </c>
      <c r="C406" s="133" t="s">
        <v>487</v>
      </c>
      <c r="D406" s="90">
        <v>1.45</v>
      </c>
      <c r="E406" s="132" t="s">
        <v>6</v>
      </c>
      <c r="F406" s="134">
        <f t="shared" si="231"/>
        <v>1112.46</v>
      </c>
      <c r="G406" s="88">
        <f>G405*D406</f>
        <v>200.69</v>
      </c>
      <c r="H406" s="88">
        <f>H405*D406</f>
        <v>138.91</v>
      </c>
      <c r="I406" s="88">
        <f>I405*D406</f>
        <v>138.91</v>
      </c>
      <c r="J406" s="88">
        <f>J405*D406</f>
        <v>179.35</v>
      </c>
      <c r="K406" s="88">
        <f>K405*D406</f>
        <v>138.94999999999999</v>
      </c>
      <c r="L406" s="88">
        <f>L405*D406</f>
        <v>176.74</v>
      </c>
      <c r="M406" s="88">
        <f>M405*D406</f>
        <v>138.91</v>
      </c>
      <c r="N406" s="29"/>
      <c r="O406" s="29"/>
      <c r="P406" s="86">
        <f>VLOOKUP(B406,'Форма КП'!$B$27:$G$49,5,FALSE)</f>
        <v>0</v>
      </c>
      <c r="Q406" s="86">
        <f t="shared" ref="Q406" si="235">P406*F406</f>
        <v>0</v>
      </c>
      <c r="R406" s="32">
        <f t="shared" ref="R406:R408" si="236">P406</f>
        <v>0</v>
      </c>
      <c r="S406" s="32">
        <f t="shared" ref="S406" si="237">P406*F406</f>
        <v>0</v>
      </c>
    </row>
    <row r="407" spans="1:19" x14ac:dyDescent="0.25">
      <c r="A407" s="132" t="s">
        <v>574</v>
      </c>
      <c r="B407" s="128" t="s">
        <v>488</v>
      </c>
      <c r="C407" s="133" t="s">
        <v>489</v>
      </c>
      <c r="D407" s="90">
        <v>0.2</v>
      </c>
      <c r="E407" s="132" t="s">
        <v>228</v>
      </c>
      <c r="F407" s="134">
        <f t="shared" si="231"/>
        <v>155.61000000000001</v>
      </c>
      <c r="G407" s="88">
        <f>((64.23-2)*2.7-12.99*2.1-1.37*1.7)*D407</f>
        <v>27.68</v>
      </c>
      <c r="H407" s="88">
        <f>(45.78*2.7-8.2*2.1-3.05*1.7)*D407</f>
        <v>20.239999999999998</v>
      </c>
      <c r="I407" s="88">
        <f>(45.78*2.7-8.2*2.1-3.05*1.7)*D407</f>
        <v>20.239999999999998</v>
      </c>
      <c r="J407" s="88">
        <f>((58-2)*2.7-11.99*2.1-1.37*1.7)*D407</f>
        <v>24.74</v>
      </c>
      <c r="K407" s="88">
        <f>((45.79-2)*2.7-8.2*2.1-3.05*1.7)*D407</f>
        <v>19.170000000000002</v>
      </c>
      <c r="L407" s="88">
        <f>((55.94-2)*2.7-10.2*2.1-1.37*1.7)*D407</f>
        <v>24.38</v>
      </c>
      <c r="M407" s="88">
        <f>((45.78-2)*2.7-3.05*1.7-8.2*2.1)*D407</f>
        <v>19.16</v>
      </c>
      <c r="N407" s="29"/>
      <c r="O407" s="29"/>
      <c r="P407" s="49" t="str">
        <f>VLOOKUP(B407,'Форма КП'!$B$27:$G$49,5,FALSE)</f>
        <v>Материал заказчика</v>
      </c>
      <c r="Q407" s="50"/>
      <c r="R407" s="49" t="str">
        <f t="shared" si="236"/>
        <v>Материал заказчика</v>
      </c>
      <c r="S407" s="50"/>
    </row>
    <row r="408" spans="1:19" x14ac:dyDescent="0.25">
      <c r="A408" s="132" t="s">
        <v>575</v>
      </c>
      <c r="B408" s="128" t="s">
        <v>511</v>
      </c>
      <c r="C408" s="133" t="s">
        <v>512</v>
      </c>
      <c r="D408" s="90">
        <v>16</v>
      </c>
      <c r="E408" s="132" t="s">
        <v>228</v>
      </c>
      <c r="F408" s="134">
        <f t="shared" si="231"/>
        <v>12275.52</v>
      </c>
      <c r="G408" s="88">
        <f>G405*D408</f>
        <v>2214.56</v>
      </c>
      <c r="H408" s="88">
        <f>H405*D408</f>
        <v>1532.8</v>
      </c>
      <c r="I408" s="88">
        <f>I405*D408</f>
        <v>1532.8</v>
      </c>
      <c r="J408" s="88">
        <f>J405*D408</f>
        <v>1979.04</v>
      </c>
      <c r="K408" s="88">
        <f>K405*D408</f>
        <v>1533.28</v>
      </c>
      <c r="L408" s="88">
        <f>L405*D408</f>
        <v>1950.24</v>
      </c>
      <c r="M408" s="88">
        <f>M405*D408</f>
        <v>1532.8</v>
      </c>
      <c r="N408" s="29"/>
      <c r="O408" s="29"/>
      <c r="P408" s="49" t="str">
        <f>VLOOKUP(B408,'Форма КП'!$B$27:$G$49,5,FALSE)</f>
        <v>Материал заказчика</v>
      </c>
      <c r="Q408" s="50"/>
      <c r="R408" s="49" t="str">
        <f t="shared" si="236"/>
        <v>Материал заказчика</v>
      </c>
      <c r="S408" s="50"/>
    </row>
    <row r="409" spans="1:19" ht="216" x14ac:dyDescent="0.25">
      <c r="A409" s="127" t="s">
        <v>576</v>
      </c>
      <c r="B409" s="128" t="s">
        <v>510</v>
      </c>
      <c r="C409" s="129" t="s">
        <v>776</v>
      </c>
      <c r="D409" s="130"/>
      <c r="E409" s="127" t="s">
        <v>224</v>
      </c>
      <c r="F409" s="131">
        <f t="shared" si="231"/>
        <v>183.61</v>
      </c>
      <c r="G409" s="113">
        <f>12.7*2.7-2*2.1</f>
        <v>30.09</v>
      </c>
      <c r="H409" s="113">
        <f>10.8*2.7-2*2.1</f>
        <v>24.96</v>
      </c>
      <c r="I409" s="113">
        <f>10.8*2.7-2*2.1</f>
        <v>24.96</v>
      </c>
      <c r="J409" s="113">
        <f>13.21*2.7-2*2.1</f>
        <v>31.47</v>
      </c>
      <c r="K409" s="113">
        <f>10.8*2.7-2*2.1</f>
        <v>24.96</v>
      </c>
      <c r="L409" s="113">
        <f>9.78*2.7-2*2.1</f>
        <v>22.21</v>
      </c>
      <c r="M409" s="113">
        <f>10.8*2.7-2*2.1</f>
        <v>24.96</v>
      </c>
      <c r="N409" s="104">
        <f>VLOOKUP(B409,'Форма КП'!$B$17:$G$25,5,FALSE)</f>
        <v>0</v>
      </c>
      <c r="O409" s="104">
        <f>N409*F409</f>
        <v>0</v>
      </c>
      <c r="P409" s="104"/>
      <c r="Q409" s="104"/>
      <c r="R409" s="104">
        <f>N409</f>
        <v>0</v>
      </c>
      <c r="S409" s="104">
        <f>N409*F409</f>
        <v>0</v>
      </c>
    </row>
    <row r="410" spans="1:19" x14ac:dyDescent="0.25">
      <c r="A410" s="132" t="s">
        <v>577</v>
      </c>
      <c r="B410" s="128" t="s">
        <v>486</v>
      </c>
      <c r="C410" s="133" t="s">
        <v>487</v>
      </c>
      <c r="D410" s="90">
        <v>1.45</v>
      </c>
      <c r="E410" s="132" t="s">
        <v>6</v>
      </c>
      <c r="F410" s="134">
        <f t="shared" si="231"/>
        <v>266.22000000000003</v>
      </c>
      <c r="G410" s="88">
        <f>G409*D410</f>
        <v>43.63</v>
      </c>
      <c r="H410" s="88">
        <f>H409*D410</f>
        <v>36.19</v>
      </c>
      <c r="I410" s="88">
        <f>I409*D410</f>
        <v>36.19</v>
      </c>
      <c r="J410" s="88">
        <f>J409*D410</f>
        <v>45.63</v>
      </c>
      <c r="K410" s="88">
        <f>K409*D410</f>
        <v>36.19</v>
      </c>
      <c r="L410" s="88">
        <f>L409*D410</f>
        <v>32.200000000000003</v>
      </c>
      <c r="M410" s="88">
        <f>M409*D410</f>
        <v>36.19</v>
      </c>
      <c r="N410" s="29"/>
      <c r="O410" s="29"/>
      <c r="P410" s="86">
        <f>VLOOKUP(B410,'Форма КП'!$B$27:$G$49,5,FALSE)</f>
        <v>0</v>
      </c>
      <c r="Q410" s="86">
        <f t="shared" ref="Q410" si="238">P410*F410</f>
        <v>0</v>
      </c>
      <c r="R410" s="32">
        <f t="shared" ref="R410:R412" si="239">P410</f>
        <v>0</v>
      </c>
      <c r="S410" s="32">
        <f t="shared" ref="S410" si="240">P410*F410</f>
        <v>0</v>
      </c>
    </row>
    <row r="411" spans="1:19" x14ac:dyDescent="0.25">
      <c r="A411" s="132" t="s">
        <v>578</v>
      </c>
      <c r="B411" s="128" t="s">
        <v>484</v>
      </c>
      <c r="C411" s="133" t="s">
        <v>225</v>
      </c>
      <c r="D411" s="90">
        <v>0.4</v>
      </c>
      <c r="E411" s="132" t="s">
        <v>226</v>
      </c>
      <c r="F411" s="134">
        <f t="shared" si="231"/>
        <v>73.430000000000007</v>
      </c>
      <c r="G411" s="88">
        <f>(12.7*2.7-2*2.1)*D411</f>
        <v>12.04</v>
      </c>
      <c r="H411" s="88">
        <f>(10.8*2.7-2*2.1)*D411</f>
        <v>9.98</v>
      </c>
      <c r="I411" s="88">
        <f>(10.8*2.7-2*2.1)*D411</f>
        <v>9.98</v>
      </c>
      <c r="J411" s="88">
        <f>(13.21*2.7-2*2.1)*D411</f>
        <v>12.59</v>
      </c>
      <c r="K411" s="88">
        <f>(10.8*2.7-2*2.1)*D411</f>
        <v>9.98</v>
      </c>
      <c r="L411" s="88">
        <f>(9.78*2.7-2*2.1)*D411</f>
        <v>8.8800000000000008</v>
      </c>
      <c r="M411" s="88">
        <f>(10.8*2.7-2*2.1)*D411</f>
        <v>9.98</v>
      </c>
      <c r="N411" s="29"/>
      <c r="O411" s="29"/>
      <c r="P411" s="49" t="str">
        <f>VLOOKUP(B411,'Форма КП'!$B$27:$G$49,5,FALSE)</f>
        <v>Материал заказчика</v>
      </c>
      <c r="Q411" s="50"/>
      <c r="R411" s="49" t="str">
        <f t="shared" si="239"/>
        <v>Материал заказчика</v>
      </c>
      <c r="S411" s="50"/>
    </row>
    <row r="412" spans="1:19" x14ac:dyDescent="0.25">
      <c r="A412" s="132" t="s">
        <v>579</v>
      </c>
      <c r="B412" s="128" t="s">
        <v>511</v>
      </c>
      <c r="C412" s="133" t="s">
        <v>512</v>
      </c>
      <c r="D412" s="90">
        <v>16</v>
      </c>
      <c r="E412" s="132" t="s">
        <v>228</v>
      </c>
      <c r="F412" s="134">
        <f t="shared" si="231"/>
        <v>2937.76</v>
      </c>
      <c r="G412" s="88">
        <f>G409*D412</f>
        <v>481.44</v>
      </c>
      <c r="H412" s="88">
        <f>H409*D412</f>
        <v>399.36</v>
      </c>
      <c r="I412" s="88">
        <f>I409*D412</f>
        <v>399.36</v>
      </c>
      <c r="J412" s="88">
        <f>J409*D412</f>
        <v>503.52</v>
      </c>
      <c r="K412" s="88">
        <f>K409*D412</f>
        <v>399.36</v>
      </c>
      <c r="L412" s="88">
        <f>L409*D412</f>
        <v>355.36</v>
      </c>
      <c r="M412" s="88">
        <f>M409*D412</f>
        <v>399.36</v>
      </c>
      <c r="N412" s="29"/>
      <c r="O412" s="29"/>
      <c r="P412" s="49" t="str">
        <f>VLOOKUP(B412,'Форма КП'!$B$27:$G$49,5,FALSE)</f>
        <v>Материал заказчика</v>
      </c>
      <c r="Q412" s="50"/>
      <c r="R412" s="49" t="str">
        <f t="shared" si="239"/>
        <v>Материал заказчика</v>
      </c>
      <c r="S412" s="50"/>
    </row>
    <row r="413" spans="1:19" ht="120" x14ac:dyDescent="0.25">
      <c r="A413" s="127" t="s">
        <v>580</v>
      </c>
      <c r="B413" s="128" t="s">
        <v>513</v>
      </c>
      <c r="C413" s="129" t="s">
        <v>777</v>
      </c>
      <c r="D413" s="130"/>
      <c r="E413" s="127" t="s">
        <v>224</v>
      </c>
      <c r="F413" s="131">
        <f t="shared" si="231"/>
        <v>669.66</v>
      </c>
      <c r="G413" s="115">
        <f>(59.41-2)*2.7-13.69*2.1</f>
        <v>126.26</v>
      </c>
      <c r="H413" s="115">
        <f>(39.06-2)*2.7-8.9*2.1-1.37*1.7</f>
        <v>79.040000000000006</v>
      </c>
      <c r="I413" s="115">
        <f>(39.06-2)*2.7-8.9*2.1-1.37*1.7</f>
        <v>79.040000000000006</v>
      </c>
      <c r="J413" s="115">
        <f>52.31*2.7-12.69*2.1</f>
        <v>114.59</v>
      </c>
      <c r="K413" s="115">
        <f>39.06*2.7-8.9*2.1-1.37*1.7</f>
        <v>84.44</v>
      </c>
      <c r="L413" s="115">
        <f>48.2*2.7-10.9*2.1</f>
        <v>107.25</v>
      </c>
      <c r="M413" s="115">
        <f>(39.06-2)*2.7-8.9*2.1-1.37*1.7</f>
        <v>79.040000000000006</v>
      </c>
      <c r="N413" s="104">
        <f>VLOOKUP(B413,'Форма КП'!$B$17:$G$25,5,FALSE)</f>
        <v>0</v>
      </c>
      <c r="O413" s="104">
        <f>N413*F413</f>
        <v>0</v>
      </c>
      <c r="P413" s="104"/>
      <c r="Q413" s="104"/>
      <c r="R413" s="104">
        <f>N413</f>
        <v>0</v>
      </c>
      <c r="S413" s="104">
        <f>N413*F413</f>
        <v>0</v>
      </c>
    </row>
    <row r="414" spans="1:19" x14ac:dyDescent="0.25">
      <c r="A414" s="132" t="s">
        <v>581</v>
      </c>
      <c r="B414" s="128" t="s">
        <v>484</v>
      </c>
      <c r="C414" s="133" t="s">
        <v>225</v>
      </c>
      <c r="D414" s="90">
        <v>0.15</v>
      </c>
      <c r="E414" s="132" t="s">
        <v>226</v>
      </c>
      <c r="F414" s="134">
        <f t="shared" si="231"/>
        <v>100.47</v>
      </c>
      <c r="G414" s="88">
        <f>G413*D414</f>
        <v>18.940000000000001</v>
      </c>
      <c r="H414" s="88">
        <f>H413*D414</f>
        <v>11.86</v>
      </c>
      <c r="I414" s="88">
        <f>I413*D414</f>
        <v>11.86</v>
      </c>
      <c r="J414" s="88">
        <f>J413*D414</f>
        <v>17.190000000000001</v>
      </c>
      <c r="K414" s="88">
        <f>K413*D414</f>
        <v>12.67</v>
      </c>
      <c r="L414" s="88">
        <f>L413*D414</f>
        <v>16.09</v>
      </c>
      <c r="M414" s="88">
        <f>M413*D414</f>
        <v>11.86</v>
      </c>
      <c r="N414" s="29"/>
      <c r="O414" s="29"/>
      <c r="P414" s="49" t="str">
        <f>VLOOKUP(B414,'Форма КП'!$B$27:$G$49,5,FALSE)</f>
        <v>Материал заказчика</v>
      </c>
      <c r="Q414" s="50"/>
      <c r="R414" s="49" t="str">
        <f t="shared" ref="R414:R415" si="241">P414</f>
        <v>Материал заказчика</v>
      </c>
      <c r="S414" s="50"/>
    </row>
    <row r="415" spans="1:19" x14ac:dyDescent="0.25">
      <c r="A415" s="132" t="s">
        <v>582</v>
      </c>
      <c r="B415" s="128" t="s">
        <v>514</v>
      </c>
      <c r="C415" s="133" t="s">
        <v>515</v>
      </c>
      <c r="D415" s="90">
        <v>5</v>
      </c>
      <c r="E415" s="132" t="s">
        <v>228</v>
      </c>
      <c r="F415" s="134">
        <f t="shared" si="231"/>
        <v>3348.3</v>
      </c>
      <c r="G415" s="88">
        <f>G413*D415</f>
        <v>631.29999999999995</v>
      </c>
      <c r="H415" s="88">
        <f>H413*D415</f>
        <v>395.2</v>
      </c>
      <c r="I415" s="88">
        <f>I413*D415</f>
        <v>395.2</v>
      </c>
      <c r="J415" s="88">
        <f>J413*D415</f>
        <v>572.95000000000005</v>
      </c>
      <c r="K415" s="88">
        <f>K413*D415</f>
        <v>422.2</v>
      </c>
      <c r="L415" s="88">
        <f>L413*D415</f>
        <v>536.25</v>
      </c>
      <c r="M415" s="88">
        <f>M413*D415</f>
        <v>395.2</v>
      </c>
      <c r="N415" s="29"/>
      <c r="O415" s="29"/>
      <c r="P415" s="49" t="str">
        <f>VLOOKUP(B415,'Форма КП'!$B$27:$G$49,5,FALSE)</f>
        <v>Материал заказчика</v>
      </c>
      <c r="Q415" s="50"/>
      <c r="R415" s="49" t="str">
        <f t="shared" si="241"/>
        <v>Материал заказчика</v>
      </c>
      <c r="S415" s="50"/>
    </row>
    <row r="416" spans="1:19" ht="156" x14ac:dyDescent="0.25">
      <c r="A416" s="127" t="s">
        <v>583</v>
      </c>
      <c r="B416" s="128" t="s">
        <v>493</v>
      </c>
      <c r="C416" s="129" t="s">
        <v>780</v>
      </c>
      <c r="D416" s="130"/>
      <c r="E416" s="127" t="s">
        <v>224</v>
      </c>
      <c r="F416" s="131">
        <f t="shared" si="231"/>
        <v>14.4</v>
      </c>
      <c r="G416" s="112">
        <f>0.2*2*6</f>
        <v>2.4</v>
      </c>
      <c r="H416" s="112">
        <f t="shared" ref="H416:M416" si="242">0.2*2*5</f>
        <v>2</v>
      </c>
      <c r="I416" s="112">
        <f t="shared" si="242"/>
        <v>2</v>
      </c>
      <c r="J416" s="112">
        <f t="shared" si="242"/>
        <v>2</v>
      </c>
      <c r="K416" s="112">
        <f t="shared" si="242"/>
        <v>2</v>
      </c>
      <c r="L416" s="112">
        <f t="shared" si="242"/>
        <v>2</v>
      </c>
      <c r="M416" s="112">
        <f t="shared" si="242"/>
        <v>2</v>
      </c>
      <c r="N416" s="104">
        <f>VLOOKUP(B416,'Форма КП'!$B$17:$G$25,5,FALSE)</f>
        <v>0</v>
      </c>
      <c r="O416" s="104">
        <f>N416*F416</f>
        <v>0</v>
      </c>
      <c r="P416" s="104"/>
      <c r="Q416" s="104"/>
      <c r="R416" s="104">
        <f>N416</f>
        <v>0</v>
      </c>
      <c r="S416" s="104">
        <f>N416*F416</f>
        <v>0</v>
      </c>
    </row>
    <row r="417" spans="1:19" x14ac:dyDescent="0.25">
      <c r="A417" s="132" t="s">
        <v>584</v>
      </c>
      <c r="B417" s="128" t="s">
        <v>484</v>
      </c>
      <c r="C417" s="133" t="s">
        <v>225</v>
      </c>
      <c r="D417" s="90">
        <v>0.15</v>
      </c>
      <c r="E417" s="132" t="s">
        <v>226</v>
      </c>
      <c r="F417" s="134">
        <f t="shared" si="231"/>
        <v>2.16</v>
      </c>
      <c r="G417" s="88">
        <f>G416*D417</f>
        <v>0.36</v>
      </c>
      <c r="H417" s="88">
        <f>H416*D417</f>
        <v>0.3</v>
      </c>
      <c r="I417" s="88">
        <f>I416*D417</f>
        <v>0.3</v>
      </c>
      <c r="J417" s="88">
        <f>J416*D417</f>
        <v>0.3</v>
      </c>
      <c r="K417" s="88">
        <f>K416*D417</f>
        <v>0.3</v>
      </c>
      <c r="L417" s="88">
        <f>L416*D417</f>
        <v>0.3</v>
      </c>
      <c r="M417" s="88">
        <f>M416*D417</f>
        <v>0.3</v>
      </c>
      <c r="N417" s="29"/>
      <c r="O417" s="29"/>
      <c r="P417" s="49" t="str">
        <f>VLOOKUP(B417,'Форма КП'!$B$27:$G$49,5,FALSE)</f>
        <v>Материал заказчика</v>
      </c>
      <c r="Q417" s="50"/>
      <c r="R417" s="49" t="str">
        <f t="shared" ref="R417:R420" si="243">P417</f>
        <v>Материал заказчика</v>
      </c>
      <c r="S417" s="50"/>
    </row>
    <row r="418" spans="1:19" x14ac:dyDescent="0.25">
      <c r="A418" s="132" t="s">
        <v>585</v>
      </c>
      <c r="B418" s="128" t="s">
        <v>496</v>
      </c>
      <c r="C418" s="133" t="s">
        <v>227</v>
      </c>
      <c r="D418" s="90">
        <v>10</v>
      </c>
      <c r="E418" s="132" t="s">
        <v>228</v>
      </c>
      <c r="F418" s="134">
        <f t="shared" si="231"/>
        <v>144</v>
      </c>
      <c r="G418" s="88">
        <f>G416*D418</f>
        <v>24</v>
      </c>
      <c r="H418" s="88">
        <f>H416*D418</f>
        <v>20</v>
      </c>
      <c r="I418" s="88">
        <f>I416*D418</f>
        <v>20</v>
      </c>
      <c r="J418" s="88">
        <f>J416*D418</f>
        <v>20</v>
      </c>
      <c r="K418" s="88">
        <f>K416*D418</f>
        <v>20</v>
      </c>
      <c r="L418" s="88">
        <f>L416*D418</f>
        <v>20</v>
      </c>
      <c r="M418" s="88">
        <f>M416*D418</f>
        <v>20</v>
      </c>
      <c r="N418" s="29"/>
      <c r="O418" s="29"/>
      <c r="P418" s="49" t="str">
        <f>VLOOKUP(B418,'Форма КП'!$B$27:$G$49,5,FALSE)</f>
        <v>Материал заказчика</v>
      </c>
      <c r="Q418" s="50"/>
      <c r="R418" s="49" t="str">
        <f t="shared" si="243"/>
        <v>Материал заказчика</v>
      </c>
      <c r="S418" s="50"/>
    </row>
    <row r="419" spans="1:19" x14ac:dyDescent="0.25">
      <c r="A419" s="132" t="s">
        <v>586</v>
      </c>
      <c r="B419" s="128" t="s">
        <v>523</v>
      </c>
      <c r="C419" s="133" t="s">
        <v>229</v>
      </c>
      <c r="D419" s="90">
        <v>0.2</v>
      </c>
      <c r="E419" s="132" t="s">
        <v>228</v>
      </c>
      <c r="F419" s="134">
        <f t="shared" si="231"/>
        <v>2.88</v>
      </c>
      <c r="G419" s="88">
        <f>G416*D419</f>
        <v>0.48</v>
      </c>
      <c r="H419" s="88">
        <f>H416*D419</f>
        <v>0.4</v>
      </c>
      <c r="I419" s="88">
        <f>I416*D419</f>
        <v>0.4</v>
      </c>
      <c r="J419" s="88">
        <f>J416*D419</f>
        <v>0.4</v>
      </c>
      <c r="K419" s="88">
        <f>K416*D419</f>
        <v>0.4</v>
      </c>
      <c r="L419" s="88">
        <f>L416*D419</f>
        <v>0.4</v>
      </c>
      <c r="M419" s="88">
        <f>M416*D419</f>
        <v>0.4</v>
      </c>
      <c r="N419" s="29"/>
      <c r="O419" s="29"/>
      <c r="P419" s="49" t="str">
        <f>VLOOKUP(B419,'Форма КП'!$B$27:$G$49,5,FALSE)</f>
        <v>Материал заказчика</v>
      </c>
      <c r="Q419" s="50"/>
      <c r="R419" s="49" t="str">
        <f t="shared" si="243"/>
        <v>Материал заказчика</v>
      </c>
      <c r="S419" s="50"/>
    </row>
    <row r="420" spans="1:19" x14ac:dyDescent="0.25">
      <c r="A420" s="132" t="s">
        <v>587</v>
      </c>
      <c r="B420" s="128" t="s">
        <v>501</v>
      </c>
      <c r="C420" s="133" t="s">
        <v>502</v>
      </c>
      <c r="D420" s="90">
        <v>1.05</v>
      </c>
      <c r="E420" s="132" t="s">
        <v>224</v>
      </c>
      <c r="F420" s="134">
        <f t="shared" si="231"/>
        <v>15.12</v>
      </c>
      <c r="G420" s="88">
        <f>G416*D420</f>
        <v>2.52</v>
      </c>
      <c r="H420" s="88">
        <f>H416*D420</f>
        <v>2.1</v>
      </c>
      <c r="I420" s="88">
        <f>I416*D420</f>
        <v>2.1</v>
      </c>
      <c r="J420" s="88">
        <f>J416*D420</f>
        <v>2.1</v>
      </c>
      <c r="K420" s="88">
        <f>K416*D420</f>
        <v>2.1</v>
      </c>
      <c r="L420" s="88">
        <f>L416*D420</f>
        <v>2.1</v>
      </c>
      <c r="M420" s="88">
        <f>M416*D420</f>
        <v>2.1</v>
      </c>
      <c r="N420" s="29"/>
      <c r="O420" s="29"/>
      <c r="P420" s="49" t="str">
        <f>VLOOKUP(B420,'Форма КП'!$B$27:$G$49,5,FALSE)</f>
        <v>Материал заказчика</v>
      </c>
      <c r="Q420" s="50"/>
      <c r="R420" s="49" t="str">
        <f t="shared" si="243"/>
        <v>Материал заказчика</v>
      </c>
      <c r="S420" s="50"/>
    </row>
    <row r="421" spans="1:19" ht="108" x14ac:dyDescent="0.25">
      <c r="A421" s="127" t="s">
        <v>588</v>
      </c>
      <c r="B421" s="128" t="s">
        <v>505</v>
      </c>
      <c r="C421" s="129" t="s">
        <v>779</v>
      </c>
      <c r="D421" s="130"/>
      <c r="E421" s="127" t="s">
        <v>224</v>
      </c>
      <c r="F421" s="131">
        <f t="shared" si="231"/>
        <v>247.76</v>
      </c>
      <c r="G421" s="113">
        <v>35.69</v>
      </c>
      <c r="H421" s="113">
        <v>35.18</v>
      </c>
      <c r="I421" s="113">
        <v>35.18</v>
      </c>
      <c r="J421" s="113">
        <v>35.659999999999997</v>
      </c>
      <c r="K421" s="113">
        <v>35.18</v>
      </c>
      <c r="L421" s="113">
        <v>35.69</v>
      </c>
      <c r="M421" s="113">
        <v>35.18</v>
      </c>
      <c r="N421" s="104">
        <f>VLOOKUP(B421,'Форма КП'!$B$17:$G$25,5,FALSE)</f>
        <v>0</v>
      </c>
      <c r="O421" s="104">
        <f>N421*F421</f>
        <v>0</v>
      </c>
      <c r="P421" s="104"/>
      <c r="Q421" s="104"/>
      <c r="R421" s="104">
        <f>N421</f>
        <v>0</v>
      </c>
      <c r="S421" s="104">
        <f>N421*F421</f>
        <v>0</v>
      </c>
    </row>
    <row r="422" spans="1:19" x14ac:dyDescent="0.25">
      <c r="A422" s="132" t="s">
        <v>589</v>
      </c>
      <c r="B422" s="128" t="s">
        <v>484</v>
      </c>
      <c r="C422" s="133" t="s">
        <v>225</v>
      </c>
      <c r="D422" s="90">
        <v>0.15</v>
      </c>
      <c r="E422" s="132" t="s">
        <v>226</v>
      </c>
      <c r="F422" s="134">
        <f t="shared" si="231"/>
        <v>37.17</v>
      </c>
      <c r="G422" s="88">
        <f>G421*D422</f>
        <v>5.35</v>
      </c>
      <c r="H422" s="88">
        <f>H421*D422</f>
        <v>5.28</v>
      </c>
      <c r="I422" s="88">
        <f>I421*D422</f>
        <v>5.28</v>
      </c>
      <c r="J422" s="88">
        <f>J421*D422</f>
        <v>5.35</v>
      </c>
      <c r="K422" s="88">
        <f>K421*D422</f>
        <v>5.28</v>
      </c>
      <c r="L422" s="88">
        <f>L421*D422</f>
        <v>5.35</v>
      </c>
      <c r="M422" s="88">
        <f>M421*D422</f>
        <v>5.28</v>
      </c>
      <c r="N422" s="29"/>
      <c r="O422" s="29"/>
      <c r="P422" s="49" t="str">
        <f>VLOOKUP(B422,'Форма КП'!$B$27:$G$49,5,FALSE)</f>
        <v>Материал заказчика</v>
      </c>
      <c r="Q422" s="50"/>
      <c r="R422" s="49" t="str">
        <f t="shared" ref="R422:R423" si="244">P422</f>
        <v>Материал заказчика</v>
      </c>
      <c r="S422" s="50"/>
    </row>
    <row r="423" spans="1:19" ht="24" x14ac:dyDescent="0.25">
      <c r="A423" s="132" t="s">
        <v>590</v>
      </c>
      <c r="B423" s="128" t="s">
        <v>506</v>
      </c>
      <c r="C423" s="133" t="s">
        <v>507</v>
      </c>
      <c r="D423" s="90">
        <v>0.25</v>
      </c>
      <c r="E423" s="132" t="s">
        <v>226</v>
      </c>
      <c r="F423" s="134">
        <f t="shared" si="231"/>
        <v>61.96</v>
      </c>
      <c r="G423" s="88">
        <f>G421*D423</f>
        <v>8.92</v>
      </c>
      <c r="H423" s="88">
        <f>H421*D423</f>
        <v>8.8000000000000007</v>
      </c>
      <c r="I423" s="88">
        <f>I421*D423</f>
        <v>8.8000000000000007</v>
      </c>
      <c r="J423" s="88">
        <f>J421*D423</f>
        <v>8.92</v>
      </c>
      <c r="K423" s="88">
        <f>K421*D423</f>
        <v>8.8000000000000007</v>
      </c>
      <c r="L423" s="88">
        <f>L421*D423</f>
        <v>8.92</v>
      </c>
      <c r="M423" s="88">
        <f>M421*D423</f>
        <v>8.8000000000000007</v>
      </c>
      <c r="N423" s="29"/>
      <c r="O423" s="29"/>
      <c r="P423" s="49" t="str">
        <f>VLOOKUP(B423,'Форма КП'!$B$27:$G$49,5,FALSE)</f>
        <v>Материал заказчика</v>
      </c>
      <c r="Q423" s="50"/>
      <c r="R423" s="49" t="str">
        <f t="shared" si="244"/>
        <v>Материал заказчика</v>
      </c>
      <c r="S423" s="50"/>
    </row>
    <row r="424" spans="1:19" ht="108" x14ac:dyDescent="0.25">
      <c r="A424" s="127" t="s">
        <v>591</v>
      </c>
      <c r="B424" s="128" t="s">
        <v>505</v>
      </c>
      <c r="C424" s="129" t="s">
        <v>779</v>
      </c>
      <c r="D424" s="130"/>
      <c r="E424" s="127" t="s">
        <v>224</v>
      </c>
      <c r="F424" s="131">
        <f t="shared" si="231"/>
        <v>45.92</v>
      </c>
      <c r="G424" s="113">
        <f t="shared" ref="G424:M424" si="245">2.43*2.7</f>
        <v>6.56</v>
      </c>
      <c r="H424" s="113">
        <f t="shared" si="245"/>
        <v>6.56</v>
      </c>
      <c r="I424" s="113">
        <f t="shared" si="245"/>
        <v>6.56</v>
      </c>
      <c r="J424" s="113">
        <f t="shared" si="245"/>
        <v>6.56</v>
      </c>
      <c r="K424" s="113">
        <f t="shared" si="245"/>
        <v>6.56</v>
      </c>
      <c r="L424" s="113">
        <f t="shared" si="245"/>
        <v>6.56</v>
      </c>
      <c r="M424" s="113">
        <f t="shared" si="245"/>
        <v>6.56</v>
      </c>
      <c r="N424" s="104">
        <f>VLOOKUP(B424,'Форма КП'!$B$17:$G$25,5,FALSE)</f>
        <v>0</v>
      </c>
      <c r="O424" s="104">
        <f>N424*F424</f>
        <v>0</v>
      </c>
      <c r="P424" s="104"/>
      <c r="Q424" s="104"/>
      <c r="R424" s="104">
        <f>N424</f>
        <v>0</v>
      </c>
      <c r="S424" s="104">
        <f>N424*F424</f>
        <v>0</v>
      </c>
    </row>
    <row r="425" spans="1:19" x14ac:dyDescent="0.25">
      <c r="A425" s="132" t="s">
        <v>592</v>
      </c>
      <c r="B425" s="128" t="s">
        <v>484</v>
      </c>
      <c r="C425" s="133" t="s">
        <v>225</v>
      </c>
      <c r="D425" s="90">
        <v>0.15</v>
      </c>
      <c r="E425" s="132" t="s">
        <v>226</v>
      </c>
      <c r="F425" s="134">
        <f t="shared" si="231"/>
        <v>6.86</v>
      </c>
      <c r="G425" s="88">
        <f>G424*D425</f>
        <v>0.98</v>
      </c>
      <c r="H425" s="88">
        <f>H424*D425</f>
        <v>0.98</v>
      </c>
      <c r="I425" s="88">
        <f>I424*D425</f>
        <v>0.98</v>
      </c>
      <c r="J425" s="88">
        <f>J424*D425</f>
        <v>0.98</v>
      </c>
      <c r="K425" s="88">
        <f>K424*D425</f>
        <v>0.98</v>
      </c>
      <c r="L425" s="88">
        <f>L424*D425</f>
        <v>0.98</v>
      </c>
      <c r="M425" s="88">
        <f>M424*D425</f>
        <v>0.98</v>
      </c>
      <c r="N425" s="29"/>
      <c r="O425" s="29"/>
      <c r="P425" s="49" t="str">
        <f>VLOOKUP(B425,'Форма КП'!$B$27:$G$49,5,FALSE)</f>
        <v>Материал заказчика</v>
      </c>
      <c r="Q425" s="50"/>
      <c r="R425" s="49" t="str">
        <f t="shared" ref="R425:R426" si="246">P425</f>
        <v>Материал заказчика</v>
      </c>
      <c r="S425" s="50"/>
    </row>
    <row r="426" spans="1:19" ht="24" x14ac:dyDescent="0.25">
      <c r="A426" s="132" t="s">
        <v>593</v>
      </c>
      <c r="B426" s="128" t="s">
        <v>508</v>
      </c>
      <c r="C426" s="133" t="s">
        <v>509</v>
      </c>
      <c r="D426" s="90">
        <v>0.25</v>
      </c>
      <c r="E426" s="132" t="s">
        <v>226</v>
      </c>
      <c r="F426" s="134">
        <f t="shared" si="231"/>
        <v>11.48</v>
      </c>
      <c r="G426" s="88">
        <f>G424*D426</f>
        <v>1.64</v>
      </c>
      <c r="H426" s="88">
        <f>H424*D426</f>
        <v>1.64</v>
      </c>
      <c r="I426" s="88">
        <f>I424*D426</f>
        <v>1.64</v>
      </c>
      <c r="J426" s="88">
        <f>J424*D426</f>
        <v>1.64</v>
      </c>
      <c r="K426" s="88">
        <f>K424*D426</f>
        <v>1.64</v>
      </c>
      <c r="L426" s="88">
        <f>L424*D426</f>
        <v>1.64</v>
      </c>
      <c r="M426" s="88">
        <f>M424*D426</f>
        <v>1.64</v>
      </c>
      <c r="N426" s="29"/>
      <c r="O426" s="29"/>
      <c r="P426" s="49" t="str">
        <f>VLOOKUP(B426,'Форма КП'!$B$27:$G$49,5,FALSE)</f>
        <v>Материал заказчика</v>
      </c>
      <c r="Q426" s="50"/>
      <c r="R426" s="49" t="str">
        <f t="shared" si="246"/>
        <v>Материал заказчика</v>
      </c>
      <c r="S426" s="50"/>
    </row>
    <row r="427" spans="1:19" x14ac:dyDescent="0.25">
      <c r="A427" s="126" t="s">
        <v>232</v>
      </c>
      <c r="B427" s="120"/>
      <c r="C427" s="121"/>
      <c r="D427" s="122"/>
      <c r="E427" s="123"/>
      <c r="F427" s="124"/>
      <c r="G427" s="125"/>
      <c r="H427" s="125"/>
      <c r="I427" s="125"/>
      <c r="J427" s="125"/>
      <c r="K427" s="125"/>
      <c r="L427" s="125"/>
      <c r="M427" s="125"/>
      <c r="N427" s="33"/>
      <c r="O427" s="33"/>
      <c r="P427" s="33"/>
      <c r="Q427" s="33"/>
      <c r="R427" s="33"/>
      <c r="S427" s="31"/>
    </row>
    <row r="428" spans="1:19" ht="216" x14ac:dyDescent="0.25">
      <c r="A428" s="127" t="s">
        <v>594</v>
      </c>
      <c r="B428" s="128" t="s">
        <v>510</v>
      </c>
      <c r="C428" s="129" t="s">
        <v>776</v>
      </c>
      <c r="D428" s="130"/>
      <c r="E428" s="127" t="s">
        <v>224</v>
      </c>
      <c r="F428" s="131">
        <f t="shared" ref="F428:F442" si="247">SUM(G428:M428)</f>
        <v>2475.61</v>
      </c>
      <c r="G428" s="113">
        <f>117.7*2.78+7.6*0.68+14.6*1.2+11.8*0.5+3.6*0.48</f>
        <v>357.52</v>
      </c>
      <c r="H428" s="113">
        <f>116.62*2.78+3*0.68+9.8*0.5+11.8*1.2+7.4*0.48</f>
        <v>348.86</v>
      </c>
      <c r="I428" s="113">
        <f>116.62*2.78+3*0.68+9.8*0.5+11.8*1.2+7.4*0.48</f>
        <v>348.86</v>
      </c>
      <c r="J428" s="113">
        <f>135.76*2.78+9.6*0.5+16.5*1.2+9.6*0.68+3.6*0.48</f>
        <v>410.27</v>
      </c>
      <c r="K428" s="116">
        <f>131.42*2.7-3*2.1-17.17*1.7-9.87*2.3+9.2*0.4</f>
        <v>300.32</v>
      </c>
      <c r="L428" s="116">
        <f>165.09*2.7-10.6*2.1-16.57*1.7-9.87*2.3+3.6*0.4</f>
        <v>374.05</v>
      </c>
      <c r="M428" s="116">
        <f>144.8*2.7-3*2.1-17.17*1.7-9.87*2.3+7.4*0.4</f>
        <v>335.73</v>
      </c>
      <c r="N428" s="104">
        <f>VLOOKUP(B428,'Форма КП'!$B$17:$G$25,5,FALSE)</f>
        <v>0</v>
      </c>
      <c r="O428" s="104">
        <f>N428*F428</f>
        <v>0</v>
      </c>
      <c r="P428" s="104"/>
      <c r="Q428" s="104"/>
      <c r="R428" s="104">
        <f>N428</f>
        <v>0</v>
      </c>
      <c r="S428" s="104">
        <f>N428*F428</f>
        <v>0</v>
      </c>
    </row>
    <row r="429" spans="1:19" x14ac:dyDescent="0.25">
      <c r="A429" s="132" t="s">
        <v>595</v>
      </c>
      <c r="B429" s="128" t="s">
        <v>486</v>
      </c>
      <c r="C429" s="133" t="s">
        <v>487</v>
      </c>
      <c r="D429" s="90">
        <v>1.45</v>
      </c>
      <c r="E429" s="132" t="s">
        <v>6</v>
      </c>
      <c r="F429" s="134">
        <f t="shared" si="247"/>
        <v>3589.63</v>
      </c>
      <c r="G429" s="88">
        <f>G428*D429</f>
        <v>518.4</v>
      </c>
      <c r="H429" s="88">
        <f>H428*D429</f>
        <v>505.85</v>
      </c>
      <c r="I429" s="88">
        <f>I428*D429</f>
        <v>505.85</v>
      </c>
      <c r="J429" s="88">
        <f>J428*D429</f>
        <v>594.89</v>
      </c>
      <c r="K429" s="106">
        <f>K428*D429</f>
        <v>435.46</v>
      </c>
      <c r="L429" s="106">
        <f>L428*D429</f>
        <v>542.37</v>
      </c>
      <c r="M429" s="106">
        <f>M428*D429</f>
        <v>486.81</v>
      </c>
      <c r="N429" s="29"/>
      <c r="O429" s="29"/>
      <c r="P429" s="86">
        <f>VLOOKUP(B429,'Форма КП'!$B$27:$G$49,5,FALSE)</f>
        <v>0</v>
      </c>
      <c r="Q429" s="86">
        <f t="shared" ref="Q429" si="248">P429*F429</f>
        <v>0</v>
      </c>
      <c r="R429" s="32">
        <f t="shared" ref="R429:R431" si="249">P429</f>
        <v>0</v>
      </c>
      <c r="S429" s="32">
        <f t="shared" ref="S429" si="250">P429*F429</f>
        <v>0</v>
      </c>
    </row>
    <row r="430" spans="1:19" x14ac:dyDescent="0.25">
      <c r="A430" s="132" t="s">
        <v>596</v>
      </c>
      <c r="B430" s="128" t="s">
        <v>488</v>
      </c>
      <c r="C430" s="133" t="s">
        <v>489</v>
      </c>
      <c r="D430" s="90">
        <v>0.2</v>
      </c>
      <c r="E430" s="132" t="s">
        <v>228</v>
      </c>
      <c r="F430" s="134">
        <f t="shared" si="247"/>
        <v>495.11</v>
      </c>
      <c r="G430" s="88">
        <f>G428*D430</f>
        <v>71.5</v>
      </c>
      <c r="H430" s="88">
        <f>H428*D430</f>
        <v>69.77</v>
      </c>
      <c r="I430" s="88">
        <f>I428*D430</f>
        <v>69.77</v>
      </c>
      <c r="J430" s="88">
        <f>J428*D430</f>
        <v>82.05</v>
      </c>
      <c r="K430" s="106">
        <f>(131.42*2.7-3*2.1-17.17*1.7-9.87*2.3+9.2*0.4)*D430</f>
        <v>60.06</v>
      </c>
      <c r="L430" s="106">
        <f>(165.09*2.7-10.6*2.1-16.57*1.7-9.87*2.3+3.6*0.4)*D430</f>
        <v>74.81</v>
      </c>
      <c r="M430" s="106">
        <f>(144.8*2.7-3*2.1-17.17*1.7-9.87*2.3+7.4*0.4)*D430</f>
        <v>67.150000000000006</v>
      </c>
      <c r="N430" s="29"/>
      <c r="O430" s="29"/>
      <c r="P430" s="49" t="str">
        <f>VLOOKUP(B430,'Форма КП'!$B$27:$G$49,5,FALSE)</f>
        <v>Материал заказчика</v>
      </c>
      <c r="Q430" s="50"/>
      <c r="R430" s="49" t="str">
        <f t="shared" si="249"/>
        <v>Материал заказчика</v>
      </c>
      <c r="S430" s="50"/>
    </row>
    <row r="431" spans="1:19" x14ac:dyDescent="0.25">
      <c r="A431" s="132" t="s">
        <v>597</v>
      </c>
      <c r="B431" s="128" t="s">
        <v>511</v>
      </c>
      <c r="C431" s="133" t="s">
        <v>512</v>
      </c>
      <c r="D431" s="90">
        <v>16</v>
      </c>
      <c r="E431" s="132" t="s">
        <v>228</v>
      </c>
      <c r="F431" s="134">
        <f t="shared" si="247"/>
        <v>39609.760000000002</v>
      </c>
      <c r="G431" s="88">
        <f>G428*D431</f>
        <v>5720.32</v>
      </c>
      <c r="H431" s="88">
        <f>H428*D431</f>
        <v>5581.76</v>
      </c>
      <c r="I431" s="88">
        <f>I428*D431</f>
        <v>5581.76</v>
      </c>
      <c r="J431" s="88">
        <f>J428*D431</f>
        <v>6564.32</v>
      </c>
      <c r="K431" s="106">
        <f>K428*D431</f>
        <v>4805.12</v>
      </c>
      <c r="L431" s="106">
        <f>L428*D431</f>
        <v>5984.8</v>
      </c>
      <c r="M431" s="106">
        <f>M428*D431</f>
        <v>5371.68</v>
      </c>
      <c r="N431" s="29"/>
      <c r="O431" s="29"/>
      <c r="P431" s="49" t="str">
        <f>VLOOKUP(B431,'Форма КП'!$B$27:$G$49,5,FALSE)</f>
        <v>Материал заказчика</v>
      </c>
      <c r="Q431" s="50"/>
      <c r="R431" s="49" t="str">
        <f t="shared" si="249"/>
        <v>Материал заказчика</v>
      </c>
      <c r="S431" s="50"/>
    </row>
    <row r="432" spans="1:19" ht="216" x14ac:dyDescent="0.25">
      <c r="A432" s="127" t="s">
        <v>598</v>
      </c>
      <c r="B432" s="128" t="s">
        <v>510</v>
      </c>
      <c r="C432" s="129" t="s">
        <v>776</v>
      </c>
      <c r="D432" s="130"/>
      <c r="E432" s="127" t="s">
        <v>224</v>
      </c>
      <c r="F432" s="131">
        <f t="shared" si="247"/>
        <v>2310.37</v>
      </c>
      <c r="G432" s="113">
        <f>130*2.78+21.6*0.68</f>
        <v>376.09</v>
      </c>
      <c r="H432" s="113">
        <f>111.56*2.78+17.8*0.68</f>
        <v>322.24</v>
      </c>
      <c r="I432" s="113">
        <f>111.56*2.78+17.8*0.68</f>
        <v>322.24</v>
      </c>
      <c r="J432" s="113">
        <f>121*2.78+25.2*0.68</f>
        <v>353.52</v>
      </c>
      <c r="K432" s="116">
        <f>118.52*2.7-16*2.1</f>
        <v>286.39999999999998</v>
      </c>
      <c r="L432" s="116">
        <f>148.27*2.7-25.4*2.1</f>
        <v>346.99</v>
      </c>
      <c r="M432" s="116">
        <f>125.87*2.7-17.6*2.1</f>
        <v>302.89</v>
      </c>
      <c r="N432" s="104">
        <f>VLOOKUP(B432,'Форма КП'!$B$17:$G$25,5,FALSE)</f>
        <v>0</v>
      </c>
      <c r="O432" s="104">
        <f>N432*F432</f>
        <v>0</v>
      </c>
      <c r="P432" s="104"/>
      <c r="Q432" s="104"/>
      <c r="R432" s="104">
        <f>N432</f>
        <v>0</v>
      </c>
      <c r="S432" s="104">
        <f>N432*F432</f>
        <v>0</v>
      </c>
    </row>
    <row r="433" spans="1:19" x14ac:dyDescent="0.25">
      <c r="A433" s="132" t="s">
        <v>599</v>
      </c>
      <c r="B433" s="128" t="s">
        <v>486</v>
      </c>
      <c r="C433" s="133" t="s">
        <v>487</v>
      </c>
      <c r="D433" s="90">
        <v>1.45</v>
      </c>
      <c r="E433" s="132" t="s">
        <v>6</v>
      </c>
      <c r="F433" s="134">
        <f t="shared" si="247"/>
        <v>3350.04</v>
      </c>
      <c r="G433" s="88">
        <f>G432*D433</f>
        <v>545.33000000000004</v>
      </c>
      <c r="H433" s="88">
        <f>H432*D433</f>
        <v>467.25</v>
      </c>
      <c r="I433" s="88">
        <f>I432*D433</f>
        <v>467.25</v>
      </c>
      <c r="J433" s="88">
        <f>J432*D433</f>
        <v>512.6</v>
      </c>
      <c r="K433" s="106">
        <f>K432*D433</f>
        <v>415.28</v>
      </c>
      <c r="L433" s="106">
        <f>L432*D433</f>
        <v>503.14</v>
      </c>
      <c r="M433" s="106">
        <f>M432*D433</f>
        <v>439.19</v>
      </c>
      <c r="N433" s="29"/>
      <c r="O433" s="29"/>
      <c r="P433" s="86">
        <f>VLOOKUP(B433,'Форма КП'!$B$27:$G$49,5,FALSE)</f>
        <v>0</v>
      </c>
      <c r="Q433" s="86">
        <f t="shared" ref="Q433" si="251">P433*F433</f>
        <v>0</v>
      </c>
      <c r="R433" s="32">
        <f t="shared" ref="R433:R435" si="252">P433</f>
        <v>0</v>
      </c>
      <c r="S433" s="32">
        <f t="shared" ref="S433" si="253">P433*F433</f>
        <v>0</v>
      </c>
    </row>
    <row r="434" spans="1:19" x14ac:dyDescent="0.25">
      <c r="A434" s="132" t="s">
        <v>600</v>
      </c>
      <c r="B434" s="128" t="s">
        <v>484</v>
      </c>
      <c r="C434" s="133" t="s">
        <v>225</v>
      </c>
      <c r="D434" s="90">
        <v>0.4</v>
      </c>
      <c r="E434" s="132" t="s">
        <v>226</v>
      </c>
      <c r="F434" s="134">
        <f t="shared" si="247"/>
        <v>924.17</v>
      </c>
      <c r="G434" s="88">
        <f>G432*D434</f>
        <v>150.44</v>
      </c>
      <c r="H434" s="88">
        <f>H432*D434</f>
        <v>128.9</v>
      </c>
      <c r="I434" s="88">
        <f>I432*D434</f>
        <v>128.9</v>
      </c>
      <c r="J434" s="88">
        <f>J432*D434</f>
        <v>141.41</v>
      </c>
      <c r="K434" s="106">
        <f>(118.52*2.7-16*2.1)*D434</f>
        <v>114.56</v>
      </c>
      <c r="L434" s="106">
        <f>(148.27*2.7-25.4*2.1)*D434</f>
        <v>138.80000000000001</v>
      </c>
      <c r="M434" s="106">
        <f>(125.87*2.7-17.6*2.1)*D434</f>
        <v>121.16</v>
      </c>
      <c r="N434" s="29"/>
      <c r="O434" s="29"/>
      <c r="P434" s="49" t="str">
        <f>VLOOKUP(B434,'Форма КП'!$B$27:$G$49,5,FALSE)</f>
        <v>Материал заказчика</v>
      </c>
      <c r="Q434" s="50"/>
      <c r="R434" s="49" t="str">
        <f t="shared" si="252"/>
        <v>Материал заказчика</v>
      </c>
      <c r="S434" s="50"/>
    </row>
    <row r="435" spans="1:19" x14ac:dyDescent="0.25">
      <c r="A435" s="132" t="s">
        <v>601</v>
      </c>
      <c r="B435" s="128" t="s">
        <v>511</v>
      </c>
      <c r="C435" s="133" t="s">
        <v>512</v>
      </c>
      <c r="D435" s="90">
        <v>16</v>
      </c>
      <c r="E435" s="132" t="s">
        <v>228</v>
      </c>
      <c r="F435" s="134">
        <f t="shared" si="247"/>
        <v>36965.919999999998</v>
      </c>
      <c r="G435" s="88">
        <f>G432*D435</f>
        <v>6017.44</v>
      </c>
      <c r="H435" s="88">
        <f>H432*D435</f>
        <v>5155.84</v>
      </c>
      <c r="I435" s="88">
        <f>I432*D435</f>
        <v>5155.84</v>
      </c>
      <c r="J435" s="88">
        <f>J432*D435</f>
        <v>5656.32</v>
      </c>
      <c r="K435" s="106">
        <f>K432*D435</f>
        <v>4582.3999999999996</v>
      </c>
      <c r="L435" s="106">
        <f>L432*D435</f>
        <v>5551.84</v>
      </c>
      <c r="M435" s="106">
        <f>M432*D435</f>
        <v>4846.24</v>
      </c>
      <c r="N435" s="29"/>
      <c r="O435" s="29"/>
      <c r="P435" s="49" t="str">
        <f>VLOOKUP(B435,'Форма КП'!$B$27:$G$49,5,FALSE)</f>
        <v>Материал заказчика</v>
      </c>
      <c r="Q435" s="50"/>
      <c r="R435" s="49" t="str">
        <f t="shared" si="252"/>
        <v>Материал заказчика</v>
      </c>
      <c r="S435" s="50"/>
    </row>
    <row r="436" spans="1:19" ht="132" x14ac:dyDescent="0.25">
      <c r="A436" s="127" t="s">
        <v>602</v>
      </c>
      <c r="B436" s="128" t="s">
        <v>481</v>
      </c>
      <c r="C436" s="129" t="s">
        <v>778</v>
      </c>
      <c r="D436" s="130"/>
      <c r="E436" s="127" t="s">
        <v>224</v>
      </c>
      <c r="F436" s="131">
        <f t="shared" si="247"/>
        <v>2093.27</v>
      </c>
      <c r="G436" s="116">
        <f>G432+G428</f>
        <v>733.61</v>
      </c>
      <c r="H436" s="116"/>
      <c r="I436" s="116"/>
      <c r="J436" s="116"/>
      <c r="K436" s="116"/>
      <c r="L436" s="116">
        <f>L428+L432</f>
        <v>721.04</v>
      </c>
      <c r="M436" s="116">
        <f>M428+M432</f>
        <v>638.62</v>
      </c>
      <c r="N436" s="104">
        <f>VLOOKUP(B436,'Форма КП'!$B$17:$G$25,5,FALSE)</f>
        <v>0</v>
      </c>
      <c r="O436" s="104">
        <f>N436*F436</f>
        <v>0</v>
      </c>
      <c r="P436" s="104"/>
      <c r="Q436" s="104"/>
      <c r="R436" s="104">
        <f>N436</f>
        <v>0</v>
      </c>
      <c r="S436" s="104">
        <f>N436*F436</f>
        <v>0</v>
      </c>
    </row>
    <row r="437" spans="1:19" x14ac:dyDescent="0.25">
      <c r="A437" s="132" t="s">
        <v>603</v>
      </c>
      <c r="B437" s="128" t="s">
        <v>482</v>
      </c>
      <c r="C437" s="133" t="s">
        <v>483</v>
      </c>
      <c r="D437" s="136">
        <v>2.4</v>
      </c>
      <c r="E437" s="132" t="s">
        <v>228</v>
      </c>
      <c r="F437" s="134">
        <f t="shared" si="247"/>
        <v>5023.8500000000004</v>
      </c>
      <c r="G437" s="88">
        <f>G436*D437</f>
        <v>1760.66</v>
      </c>
      <c r="H437" s="88">
        <f>H436*D437</f>
        <v>0</v>
      </c>
      <c r="I437" s="88">
        <f>I436*D437</f>
        <v>0</v>
      </c>
      <c r="J437" s="88">
        <f>J436*D437</f>
        <v>0</v>
      </c>
      <c r="K437" s="106">
        <f>K436*D437</f>
        <v>0</v>
      </c>
      <c r="L437" s="106">
        <f>L436*D437</f>
        <v>1730.5</v>
      </c>
      <c r="M437" s="106">
        <f>M436*D437</f>
        <v>1532.69</v>
      </c>
      <c r="N437" s="29"/>
      <c r="O437" s="29"/>
      <c r="P437" s="49" t="str">
        <f>VLOOKUP(B437,'Форма КП'!$B$27:$G$49,5,FALSE)</f>
        <v>Материал заказчика</v>
      </c>
      <c r="Q437" s="50"/>
      <c r="R437" s="49" t="str">
        <f t="shared" ref="R437:R438" si="254">P437</f>
        <v>Материал заказчика</v>
      </c>
      <c r="S437" s="50"/>
    </row>
    <row r="438" spans="1:19" x14ac:dyDescent="0.25">
      <c r="A438" s="132" t="s">
        <v>604</v>
      </c>
      <c r="B438" s="128" t="s">
        <v>484</v>
      </c>
      <c r="C438" s="133" t="s">
        <v>225</v>
      </c>
      <c r="D438" s="136">
        <v>0.15</v>
      </c>
      <c r="E438" s="132" t="s">
        <v>226</v>
      </c>
      <c r="F438" s="134">
        <f t="shared" si="247"/>
        <v>313.99</v>
      </c>
      <c r="G438" s="88">
        <f>G436*D438</f>
        <v>110.04</v>
      </c>
      <c r="H438" s="88">
        <f>H436*D438</f>
        <v>0</v>
      </c>
      <c r="I438" s="88">
        <f>I436*D438</f>
        <v>0</v>
      </c>
      <c r="J438" s="88">
        <f>J436*D438</f>
        <v>0</v>
      </c>
      <c r="K438" s="106">
        <f>K436*D438</f>
        <v>0</v>
      </c>
      <c r="L438" s="106">
        <f>L436*D438</f>
        <v>108.16</v>
      </c>
      <c r="M438" s="106">
        <f>M436*D438</f>
        <v>95.79</v>
      </c>
      <c r="N438" s="29"/>
      <c r="O438" s="29"/>
      <c r="P438" s="49" t="str">
        <f>VLOOKUP(B438,'Форма КП'!$B$27:$G$49,5,FALSE)</f>
        <v>Материал заказчика</v>
      </c>
      <c r="Q438" s="50"/>
      <c r="R438" s="49" t="str">
        <f t="shared" si="254"/>
        <v>Материал заказчика</v>
      </c>
      <c r="S438" s="50"/>
    </row>
    <row r="439" spans="1:19" ht="264" x14ac:dyDescent="0.25">
      <c r="A439" s="127" t="s">
        <v>605</v>
      </c>
      <c r="B439" s="128" t="s">
        <v>474</v>
      </c>
      <c r="C439" s="129" t="s">
        <v>782</v>
      </c>
      <c r="D439" s="130"/>
      <c r="E439" s="127" t="s">
        <v>224</v>
      </c>
      <c r="F439" s="131">
        <f t="shared" si="247"/>
        <v>111.86</v>
      </c>
      <c r="G439" s="115">
        <f>6.66*2.75+1.02*2.81</f>
        <v>21.18</v>
      </c>
      <c r="H439" s="115">
        <f>3.48*2.75</f>
        <v>9.57</v>
      </c>
      <c r="I439" s="115">
        <f>3.48*2.75</f>
        <v>9.57</v>
      </c>
      <c r="J439" s="115">
        <f>8.69*2.75</f>
        <v>23.9</v>
      </c>
      <c r="K439" s="115">
        <f>3.48*2.75</f>
        <v>9.57</v>
      </c>
      <c r="L439" s="115">
        <f>6.39*2.75+1.05*2.81</f>
        <v>20.52</v>
      </c>
      <c r="M439" s="115">
        <f>3.95*2.75+2.38*2.81</f>
        <v>17.55</v>
      </c>
      <c r="N439" s="104">
        <f>VLOOKUP(B439,'Форма КП'!$B$17:$G$25,5,FALSE)</f>
        <v>0</v>
      </c>
      <c r="O439" s="104">
        <f>N439*F439</f>
        <v>0</v>
      </c>
      <c r="P439" s="104"/>
      <c r="Q439" s="104"/>
      <c r="R439" s="104">
        <f>N439</f>
        <v>0</v>
      </c>
      <c r="S439" s="104">
        <f>N439*F439</f>
        <v>0</v>
      </c>
    </row>
    <row r="440" spans="1:19" x14ac:dyDescent="0.25">
      <c r="A440" s="132" t="s">
        <v>606</v>
      </c>
      <c r="B440" s="128" t="s">
        <v>524</v>
      </c>
      <c r="C440" s="133" t="s">
        <v>525</v>
      </c>
      <c r="D440" s="90">
        <v>2.25</v>
      </c>
      <c r="E440" s="132" t="s">
        <v>224</v>
      </c>
      <c r="F440" s="134">
        <f t="shared" si="247"/>
        <v>251.69</v>
      </c>
      <c r="G440" s="88">
        <f>G439*D440</f>
        <v>47.66</v>
      </c>
      <c r="H440" s="88">
        <f>H439*D440</f>
        <v>21.53</v>
      </c>
      <c r="I440" s="88">
        <f>I439*D440</f>
        <v>21.53</v>
      </c>
      <c r="J440" s="88">
        <f>J439*D440</f>
        <v>53.78</v>
      </c>
      <c r="K440" s="106">
        <f>K439*D440</f>
        <v>21.53</v>
      </c>
      <c r="L440" s="106">
        <f>L439*D440</f>
        <v>46.17</v>
      </c>
      <c r="M440" s="106">
        <f>M439*D440</f>
        <v>39.49</v>
      </c>
      <c r="N440" s="29"/>
      <c r="O440" s="29"/>
      <c r="P440" s="86">
        <f>VLOOKUP(B440,'Форма КП'!$B$27:$G$49,5,FALSE)</f>
        <v>0</v>
      </c>
      <c r="Q440" s="86">
        <f t="shared" ref="Q440:Q442" si="255">P440*F440</f>
        <v>0</v>
      </c>
      <c r="R440" s="32">
        <f t="shared" ref="R440:R442" si="256">P440</f>
        <v>0</v>
      </c>
      <c r="S440" s="32">
        <f t="shared" ref="S440:S442" si="257">P440*F440</f>
        <v>0</v>
      </c>
    </row>
    <row r="441" spans="1:19" x14ac:dyDescent="0.25">
      <c r="A441" s="132" t="s">
        <v>607</v>
      </c>
      <c r="B441" s="128" t="s">
        <v>477</v>
      </c>
      <c r="C441" s="133" t="s">
        <v>478</v>
      </c>
      <c r="D441" s="90">
        <v>0.86</v>
      </c>
      <c r="E441" s="132" t="s">
        <v>6</v>
      </c>
      <c r="F441" s="134">
        <f t="shared" si="247"/>
        <v>96.19</v>
      </c>
      <c r="G441" s="88">
        <f>G439*D441</f>
        <v>18.21</v>
      </c>
      <c r="H441" s="88">
        <f>H439*D441</f>
        <v>8.23</v>
      </c>
      <c r="I441" s="88">
        <f>I439*D441</f>
        <v>8.23</v>
      </c>
      <c r="J441" s="88">
        <f>J439*D441</f>
        <v>20.55</v>
      </c>
      <c r="K441" s="106">
        <f>K439*D441</f>
        <v>8.23</v>
      </c>
      <c r="L441" s="106">
        <f>L439*D441</f>
        <v>17.649999999999999</v>
      </c>
      <c r="M441" s="106">
        <f>M439*D441</f>
        <v>15.09</v>
      </c>
      <c r="N441" s="29"/>
      <c r="O441" s="29"/>
      <c r="P441" s="86">
        <f>VLOOKUP(B441,'Форма КП'!$B$27:$G$49,5,FALSE)</f>
        <v>0</v>
      </c>
      <c r="Q441" s="86">
        <f t="shared" si="255"/>
        <v>0</v>
      </c>
      <c r="R441" s="32">
        <f t="shared" si="256"/>
        <v>0</v>
      </c>
      <c r="S441" s="32">
        <f t="shared" si="257"/>
        <v>0</v>
      </c>
    </row>
    <row r="442" spans="1:19" x14ac:dyDescent="0.25">
      <c r="A442" s="132" t="s">
        <v>608</v>
      </c>
      <c r="B442" s="128" t="s">
        <v>479</v>
      </c>
      <c r="C442" s="133" t="s">
        <v>480</v>
      </c>
      <c r="D442" s="90">
        <v>2.34</v>
      </c>
      <c r="E442" s="132" t="s">
        <v>6</v>
      </c>
      <c r="F442" s="134">
        <f t="shared" si="247"/>
        <v>261.75</v>
      </c>
      <c r="G442" s="88">
        <f>G439*D442</f>
        <v>49.56</v>
      </c>
      <c r="H442" s="88">
        <f>H439*D442</f>
        <v>22.39</v>
      </c>
      <c r="I442" s="88">
        <f>I439*D442</f>
        <v>22.39</v>
      </c>
      <c r="J442" s="88">
        <f>J439*D442</f>
        <v>55.93</v>
      </c>
      <c r="K442" s="106">
        <f>K439*D442</f>
        <v>22.39</v>
      </c>
      <c r="L442" s="106">
        <f>L439*D442</f>
        <v>48.02</v>
      </c>
      <c r="M442" s="106">
        <f>M439*D442</f>
        <v>41.07</v>
      </c>
      <c r="N442" s="29"/>
      <c r="O442" s="29"/>
      <c r="P442" s="86">
        <f>VLOOKUP(B442,'Форма КП'!$B$27:$G$49,5,FALSE)</f>
        <v>0</v>
      </c>
      <c r="Q442" s="86">
        <f t="shared" si="255"/>
        <v>0</v>
      </c>
      <c r="R442" s="32">
        <f t="shared" si="256"/>
        <v>0</v>
      </c>
      <c r="S442" s="32">
        <f t="shared" si="257"/>
        <v>0</v>
      </c>
    </row>
    <row r="443" spans="1:19" x14ac:dyDescent="0.25">
      <c r="A443" s="119" t="s">
        <v>368</v>
      </c>
      <c r="B443" s="120"/>
      <c r="C443" s="121"/>
      <c r="D443" s="122"/>
      <c r="E443" s="123"/>
      <c r="F443" s="124"/>
      <c r="G443" s="125"/>
      <c r="H443" s="125"/>
      <c r="I443" s="125"/>
      <c r="J443" s="125"/>
      <c r="K443" s="125"/>
      <c r="L443" s="125"/>
      <c r="M443" s="125"/>
      <c r="N443" s="33"/>
      <c r="O443" s="33"/>
      <c r="P443" s="33"/>
      <c r="Q443" s="33"/>
      <c r="R443" s="33"/>
      <c r="S443" s="31"/>
    </row>
    <row r="444" spans="1:19" x14ac:dyDescent="0.25">
      <c r="A444" s="126" t="s">
        <v>223</v>
      </c>
      <c r="B444" s="120"/>
      <c r="C444" s="121"/>
      <c r="D444" s="122"/>
      <c r="E444" s="123"/>
      <c r="F444" s="124"/>
      <c r="G444" s="125"/>
      <c r="H444" s="125"/>
      <c r="I444" s="125"/>
      <c r="J444" s="125"/>
      <c r="K444" s="125"/>
      <c r="L444" s="125"/>
      <c r="M444" s="125"/>
      <c r="N444" s="33"/>
      <c r="O444" s="33"/>
      <c r="P444" s="33"/>
      <c r="Q444" s="33"/>
      <c r="R444" s="33"/>
      <c r="S444" s="31"/>
    </row>
    <row r="445" spans="1:19" ht="264" x14ac:dyDescent="0.25">
      <c r="A445" s="127" t="s">
        <v>609</v>
      </c>
      <c r="B445" s="128" t="s">
        <v>474</v>
      </c>
      <c r="C445" s="129" t="s">
        <v>782</v>
      </c>
      <c r="D445" s="130"/>
      <c r="E445" s="127" t="s">
        <v>224</v>
      </c>
      <c r="F445" s="131">
        <f t="shared" ref="F445:F470" si="258">SUM(G445:M445)</f>
        <v>187.58</v>
      </c>
      <c r="G445" s="113">
        <f>6.46*2.81-2.4*2.3+4.94*2.81</f>
        <v>26.51</v>
      </c>
      <c r="H445" s="113">
        <f>6.46*2.81-2.4*2.3+5.1*2.81</f>
        <v>26.96</v>
      </c>
      <c r="I445" s="113">
        <f>6.46*2.81-2.4*2.3+5.1*2.81</f>
        <v>26.96</v>
      </c>
      <c r="J445" s="113">
        <f>6.46*2.81-2.4*2.3+5.02*2.81</f>
        <v>26.74</v>
      </c>
      <c r="K445" s="113">
        <f>6.46*2.81-2.4*2.3+5.1*2.81</f>
        <v>26.96</v>
      </c>
      <c r="L445" s="113">
        <f>6.46*2.81-2.4*2.3+4.93*2.81</f>
        <v>26.49</v>
      </c>
      <c r="M445" s="113">
        <f>6.46*2.81-2.4*2.3+5.1*2.81</f>
        <v>26.96</v>
      </c>
      <c r="N445" s="104">
        <f>VLOOKUP(B445,'Форма КП'!$B$17:$G$25,5,FALSE)</f>
        <v>0</v>
      </c>
      <c r="O445" s="104">
        <f>N445*F445</f>
        <v>0</v>
      </c>
      <c r="P445" s="104"/>
      <c r="Q445" s="104"/>
      <c r="R445" s="104">
        <f>N445</f>
        <v>0</v>
      </c>
      <c r="S445" s="104">
        <f>N445*F445</f>
        <v>0</v>
      </c>
    </row>
    <row r="446" spans="1:19" x14ac:dyDescent="0.25">
      <c r="A446" s="132" t="s">
        <v>610</v>
      </c>
      <c r="B446" s="128" t="s">
        <v>475</v>
      </c>
      <c r="C446" s="133" t="s">
        <v>476</v>
      </c>
      <c r="D446" s="90">
        <v>2.25</v>
      </c>
      <c r="E446" s="132" t="s">
        <v>224</v>
      </c>
      <c r="F446" s="134">
        <f t="shared" si="258"/>
        <v>422.06</v>
      </c>
      <c r="G446" s="88">
        <f>G445*D446</f>
        <v>59.65</v>
      </c>
      <c r="H446" s="88">
        <f>H445*D446</f>
        <v>60.66</v>
      </c>
      <c r="I446" s="88">
        <f>I445*D446</f>
        <v>60.66</v>
      </c>
      <c r="J446" s="88">
        <f>J445*D446</f>
        <v>60.17</v>
      </c>
      <c r="K446" s="88">
        <f>K445*D446</f>
        <v>60.66</v>
      </c>
      <c r="L446" s="88">
        <f>L445*D446</f>
        <v>59.6</v>
      </c>
      <c r="M446" s="88">
        <f>M445*D446</f>
        <v>60.66</v>
      </c>
      <c r="N446" s="29"/>
      <c r="O446" s="29"/>
      <c r="P446" s="86">
        <f>VLOOKUP(B446,'Форма КП'!$B$27:$G$49,5,FALSE)</f>
        <v>0</v>
      </c>
      <c r="Q446" s="86">
        <f t="shared" ref="Q446:Q448" si="259">P446*F446</f>
        <v>0</v>
      </c>
      <c r="R446" s="32">
        <f t="shared" ref="R446:R448" si="260">P446</f>
        <v>0</v>
      </c>
      <c r="S446" s="32">
        <f t="shared" ref="S446:S448" si="261">P446*F446</f>
        <v>0</v>
      </c>
    </row>
    <row r="447" spans="1:19" x14ac:dyDescent="0.25">
      <c r="A447" s="132" t="s">
        <v>611</v>
      </c>
      <c r="B447" s="128" t="s">
        <v>477</v>
      </c>
      <c r="C447" s="133" t="s">
        <v>478</v>
      </c>
      <c r="D447" s="90">
        <v>0.86</v>
      </c>
      <c r="E447" s="132" t="s">
        <v>6</v>
      </c>
      <c r="F447" s="134">
        <f t="shared" si="258"/>
        <v>161.34</v>
      </c>
      <c r="G447" s="88">
        <f>G445*D447</f>
        <v>22.8</v>
      </c>
      <c r="H447" s="88">
        <f>H445*D447</f>
        <v>23.19</v>
      </c>
      <c r="I447" s="88">
        <f>I445*D447</f>
        <v>23.19</v>
      </c>
      <c r="J447" s="88">
        <f>J445*D447</f>
        <v>23</v>
      </c>
      <c r="K447" s="88">
        <f>K445*D447</f>
        <v>23.19</v>
      </c>
      <c r="L447" s="88">
        <f>L445*D447</f>
        <v>22.78</v>
      </c>
      <c r="M447" s="88">
        <f>M445*D447</f>
        <v>23.19</v>
      </c>
      <c r="N447" s="29"/>
      <c r="O447" s="29"/>
      <c r="P447" s="86">
        <f>VLOOKUP(B447,'Форма КП'!$B$27:$G$49,5,FALSE)</f>
        <v>0</v>
      </c>
      <c r="Q447" s="86">
        <f t="shared" si="259"/>
        <v>0</v>
      </c>
      <c r="R447" s="32">
        <f t="shared" si="260"/>
        <v>0</v>
      </c>
      <c r="S447" s="32">
        <f t="shared" si="261"/>
        <v>0</v>
      </c>
    </row>
    <row r="448" spans="1:19" x14ac:dyDescent="0.25">
      <c r="A448" s="132" t="s">
        <v>612</v>
      </c>
      <c r="B448" s="128" t="s">
        <v>479</v>
      </c>
      <c r="C448" s="133" t="s">
        <v>480</v>
      </c>
      <c r="D448" s="90">
        <v>2.34</v>
      </c>
      <c r="E448" s="132" t="s">
        <v>6</v>
      </c>
      <c r="F448" s="134">
        <f t="shared" si="258"/>
        <v>438.95</v>
      </c>
      <c r="G448" s="88">
        <f>G445*D448</f>
        <v>62.03</v>
      </c>
      <c r="H448" s="88">
        <f>H445*D448</f>
        <v>63.09</v>
      </c>
      <c r="I448" s="88">
        <f>I445*D448</f>
        <v>63.09</v>
      </c>
      <c r="J448" s="88">
        <f>J445*D448</f>
        <v>62.57</v>
      </c>
      <c r="K448" s="88">
        <f>K445*D448</f>
        <v>63.09</v>
      </c>
      <c r="L448" s="88">
        <f>L445*D448</f>
        <v>61.99</v>
      </c>
      <c r="M448" s="88">
        <f>M445*D448</f>
        <v>63.09</v>
      </c>
      <c r="N448" s="29"/>
      <c r="O448" s="29"/>
      <c r="P448" s="86">
        <f>VLOOKUP(B448,'Форма КП'!$B$27:$G$49,5,FALSE)</f>
        <v>0</v>
      </c>
      <c r="Q448" s="86">
        <f t="shared" si="259"/>
        <v>0</v>
      </c>
      <c r="R448" s="32">
        <f t="shared" si="260"/>
        <v>0</v>
      </c>
      <c r="S448" s="32">
        <f t="shared" si="261"/>
        <v>0</v>
      </c>
    </row>
    <row r="449" spans="1:19" ht="216" x14ac:dyDescent="0.25">
      <c r="A449" s="127" t="s">
        <v>613</v>
      </c>
      <c r="B449" s="128" t="s">
        <v>510</v>
      </c>
      <c r="C449" s="129" t="s">
        <v>776</v>
      </c>
      <c r="D449" s="130"/>
      <c r="E449" s="127" t="s">
        <v>224</v>
      </c>
      <c r="F449" s="131">
        <f t="shared" si="258"/>
        <v>767.22</v>
      </c>
      <c r="G449" s="113">
        <f>(64.23-2)*2.7-12.99*2.1-1.37*1.7</f>
        <v>138.41</v>
      </c>
      <c r="H449" s="113">
        <f>(45.78-2)*2.7-8.2*2.1-3.05*1.7</f>
        <v>95.8</v>
      </c>
      <c r="I449" s="113">
        <f>(45.78-2)*2.7-8.2*2.1-3.05*1.7</f>
        <v>95.8</v>
      </c>
      <c r="J449" s="113">
        <f>(58-2)*2.7-11.99*2.1-1.37*1.7</f>
        <v>123.69</v>
      </c>
      <c r="K449" s="113">
        <f>(45.79-2)*2.7-8.2*2.1-3.05*1.7</f>
        <v>95.83</v>
      </c>
      <c r="L449" s="113">
        <f>(55.94-2)*2.7-10.2*2.1-1.37*1.7</f>
        <v>121.89</v>
      </c>
      <c r="M449" s="113">
        <f>(45.78-2)*2.7-3.05*1.7-8.2*2.1</f>
        <v>95.8</v>
      </c>
      <c r="N449" s="104">
        <f>VLOOKUP(B449,'Форма КП'!$B$17:$G$25,5,FALSE)</f>
        <v>0</v>
      </c>
      <c r="O449" s="104">
        <f>N449*F449</f>
        <v>0</v>
      </c>
      <c r="P449" s="104"/>
      <c r="Q449" s="104"/>
      <c r="R449" s="104">
        <f>N449</f>
        <v>0</v>
      </c>
      <c r="S449" s="104">
        <f>N449*F449</f>
        <v>0</v>
      </c>
    </row>
    <row r="450" spans="1:19" x14ac:dyDescent="0.25">
      <c r="A450" s="132" t="s">
        <v>614</v>
      </c>
      <c r="B450" s="128" t="s">
        <v>486</v>
      </c>
      <c r="C450" s="133" t="s">
        <v>487</v>
      </c>
      <c r="D450" s="90">
        <v>1.45</v>
      </c>
      <c r="E450" s="132" t="s">
        <v>6</v>
      </c>
      <c r="F450" s="134">
        <f t="shared" si="258"/>
        <v>1112.46</v>
      </c>
      <c r="G450" s="88">
        <f>G449*D450</f>
        <v>200.69</v>
      </c>
      <c r="H450" s="88">
        <f>H449*D450</f>
        <v>138.91</v>
      </c>
      <c r="I450" s="88">
        <f>I449*D450</f>
        <v>138.91</v>
      </c>
      <c r="J450" s="88">
        <f>J449*D450</f>
        <v>179.35</v>
      </c>
      <c r="K450" s="88">
        <f>K449*D450</f>
        <v>138.94999999999999</v>
      </c>
      <c r="L450" s="88">
        <f>L449*D450</f>
        <v>176.74</v>
      </c>
      <c r="M450" s="88">
        <f>M449*D450</f>
        <v>138.91</v>
      </c>
      <c r="N450" s="29"/>
      <c r="O450" s="29"/>
      <c r="P450" s="86">
        <f>VLOOKUP(B450,'Форма КП'!$B$27:$G$49,5,FALSE)</f>
        <v>0</v>
      </c>
      <c r="Q450" s="86">
        <f t="shared" ref="Q450" si="262">P450*F450</f>
        <v>0</v>
      </c>
      <c r="R450" s="32">
        <f t="shared" ref="R450:R452" si="263">P450</f>
        <v>0</v>
      </c>
      <c r="S450" s="32">
        <f t="shared" ref="S450" si="264">P450*F450</f>
        <v>0</v>
      </c>
    </row>
    <row r="451" spans="1:19" x14ac:dyDescent="0.25">
      <c r="A451" s="132" t="s">
        <v>615</v>
      </c>
      <c r="B451" s="128" t="s">
        <v>488</v>
      </c>
      <c r="C451" s="133" t="s">
        <v>489</v>
      </c>
      <c r="D451" s="90">
        <v>0.2</v>
      </c>
      <c r="E451" s="132" t="s">
        <v>228</v>
      </c>
      <c r="F451" s="134">
        <f t="shared" si="258"/>
        <v>155.61000000000001</v>
      </c>
      <c r="G451" s="88">
        <f>((64.23-2)*2.7-12.99*2.1-1.37*1.7)*D451</f>
        <v>27.68</v>
      </c>
      <c r="H451" s="88">
        <f>(45.78*2.7-8.2*2.1-3.05*1.7)*D451</f>
        <v>20.239999999999998</v>
      </c>
      <c r="I451" s="88">
        <f>(45.78*2.7-8.2*2.1-3.05*1.7)*D451</f>
        <v>20.239999999999998</v>
      </c>
      <c r="J451" s="88">
        <f>((58-2)*2.7-11.99*2.1-1.37*1.7)*D451</f>
        <v>24.74</v>
      </c>
      <c r="K451" s="88">
        <f>((45.79-2)*2.7-8.2*2.1-3.05*1.7)*D451</f>
        <v>19.170000000000002</v>
      </c>
      <c r="L451" s="88">
        <f>((55.94-2)*2.7-10.2*2.1-1.37*1.7)*D451</f>
        <v>24.38</v>
      </c>
      <c r="M451" s="88">
        <f>((45.78-2)*2.7-3.05*1.7-8.2*2.1)*D451</f>
        <v>19.16</v>
      </c>
      <c r="N451" s="29"/>
      <c r="O451" s="29"/>
      <c r="P451" s="49" t="str">
        <f>VLOOKUP(B451,'Форма КП'!$B$27:$G$49,5,FALSE)</f>
        <v>Материал заказчика</v>
      </c>
      <c r="Q451" s="50"/>
      <c r="R451" s="49" t="str">
        <f t="shared" si="263"/>
        <v>Материал заказчика</v>
      </c>
      <c r="S451" s="50"/>
    </row>
    <row r="452" spans="1:19" x14ac:dyDescent="0.25">
      <c r="A452" s="132" t="s">
        <v>616</v>
      </c>
      <c r="B452" s="128" t="s">
        <v>511</v>
      </c>
      <c r="C452" s="133" t="s">
        <v>512</v>
      </c>
      <c r="D452" s="90">
        <v>16</v>
      </c>
      <c r="E452" s="132" t="s">
        <v>228</v>
      </c>
      <c r="F452" s="134">
        <f t="shared" si="258"/>
        <v>12275.52</v>
      </c>
      <c r="G452" s="88">
        <f>G449*D452</f>
        <v>2214.56</v>
      </c>
      <c r="H452" s="88">
        <f>H449*D452</f>
        <v>1532.8</v>
      </c>
      <c r="I452" s="88">
        <f>I449*D452</f>
        <v>1532.8</v>
      </c>
      <c r="J452" s="88">
        <f>J449*D452</f>
        <v>1979.04</v>
      </c>
      <c r="K452" s="88">
        <f>K449*D452</f>
        <v>1533.28</v>
      </c>
      <c r="L452" s="88">
        <f>L449*D452</f>
        <v>1950.24</v>
      </c>
      <c r="M452" s="88">
        <f>M449*D452</f>
        <v>1532.8</v>
      </c>
      <c r="N452" s="29"/>
      <c r="O452" s="29"/>
      <c r="P452" s="49" t="str">
        <f>VLOOKUP(B452,'Форма КП'!$B$27:$G$49,5,FALSE)</f>
        <v>Материал заказчика</v>
      </c>
      <c r="Q452" s="50"/>
      <c r="R452" s="49" t="str">
        <f t="shared" si="263"/>
        <v>Материал заказчика</v>
      </c>
      <c r="S452" s="50"/>
    </row>
    <row r="453" spans="1:19" ht="216" x14ac:dyDescent="0.25">
      <c r="A453" s="127" t="s">
        <v>617</v>
      </c>
      <c r="B453" s="128" t="s">
        <v>510</v>
      </c>
      <c r="C453" s="129" t="s">
        <v>776</v>
      </c>
      <c r="D453" s="130"/>
      <c r="E453" s="127" t="s">
        <v>224</v>
      </c>
      <c r="F453" s="131">
        <f t="shared" si="258"/>
        <v>183.61</v>
      </c>
      <c r="G453" s="113">
        <f>12.7*2.7-2*2.1</f>
        <v>30.09</v>
      </c>
      <c r="H453" s="113">
        <f>10.8*2.7-2*2.1</f>
        <v>24.96</v>
      </c>
      <c r="I453" s="113">
        <f>10.8*2.7-2*2.1</f>
        <v>24.96</v>
      </c>
      <c r="J453" s="113">
        <f>13.21*2.7-2*2.1</f>
        <v>31.47</v>
      </c>
      <c r="K453" s="113">
        <f>10.8*2.7-2*2.1</f>
        <v>24.96</v>
      </c>
      <c r="L453" s="113">
        <f>9.78*2.7-2*2.1</f>
        <v>22.21</v>
      </c>
      <c r="M453" s="113">
        <f>10.8*2.7-2*2.1</f>
        <v>24.96</v>
      </c>
      <c r="N453" s="104">
        <f>VLOOKUP(B453,'Форма КП'!$B$17:$G$25,5,FALSE)</f>
        <v>0</v>
      </c>
      <c r="O453" s="104">
        <f>N453*F453</f>
        <v>0</v>
      </c>
      <c r="P453" s="104"/>
      <c r="Q453" s="104"/>
      <c r="R453" s="104">
        <f>N453</f>
        <v>0</v>
      </c>
      <c r="S453" s="104">
        <f>N453*F453</f>
        <v>0</v>
      </c>
    </row>
    <row r="454" spans="1:19" x14ac:dyDescent="0.25">
      <c r="A454" s="132" t="s">
        <v>618</v>
      </c>
      <c r="B454" s="128" t="s">
        <v>486</v>
      </c>
      <c r="C454" s="133" t="s">
        <v>487</v>
      </c>
      <c r="D454" s="90">
        <v>1.45</v>
      </c>
      <c r="E454" s="132" t="s">
        <v>6</v>
      </c>
      <c r="F454" s="134">
        <f t="shared" si="258"/>
        <v>266.22000000000003</v>
      </c>
      <c r="G454" s="88">
        <f>G453*D454</f>
        <v>43.63</v>
      </c>
      <c r="H454" s="88">
        <f>H453*D454</f>
        <v>36.19</v>
      </c>
      <c r="I454" s="88">
        <f>I453*D454</f>
        <v>36.19</v>
      </c>
      <c r="J454" s="88">
        <f>J453*D454</f>
        <v>45.63</v>
      </c>
      <c r="K454" s="88">
        <f>K453*D454</f>
        <v>36.19</v>
      </c>
      <c r="L454" s="88">
        <f>L453*D454</f>
        <v>32.200000000000003</v>
      </c>
      <c r="M454" s="88">
        <f>M453*D454</f>
        <v>36.19</v>
      </c>
      <c r="N454" s="29"/>
      <c r="O454" s="29"/>
      <c r="P454" s="86">
        <f>VLOOKUP(B454,'Форма КП'!$B$27:$G$49,5,FALSE)</f>
        <v>0</v>
      </c>
      <c r="Q454" s="86">
        <f t="shared" ref="Q454" si="265">P454*F454</f>
        <v>0</v>
      </c>
      <c r="R454" s="32">
        <f t="shared" ref="R454:R456" si="266">P454</f>
        <v>0</v>
      </c>
      <c r="S454" s="32">
        <f t="shared" ref="S454" si="267">P454*F454</f>
        <v>0</v>
      </c>
    </row>
    <row r="455" spans="1:19" x14ac:dyDescent="0.25">
      <c r="A455" s="132" t="s">
        <v>619</v>
      </c>
      <c r="B455" s="128" t="s">
        <v>484</v>
      </c>
      <c r="C455" s="133" t="s">
        <v>225</v>
      </c>
      <c r="D455" s="90">
        <v>0.4</v>
      </c>
      <c r="E455" s="132" t="s">
        <v>226</v>
      </c>
      <c r="F455" s="134">
        <f t="shared" si="258"/>
        <v>73.430000000000007</v>
      </c>
      <c r="G455" s="88">
        <f>(12.7*2.7-2*2.1)*D455</f>
        <v>12.04</v>
      </c>
      <c r="H455" s="88">
        <f>(10.8*2.7-2*2.1)*D455</f>
        <v>9.98</v>
      </c>
      <c r="I455" s="88">
        <f>(10.8*2.7-2*2.1)*D455</f>
        <v>9.98</v>
      </c>
      <c r="J455" s="88">
        <f>(13.21*2.7-2*2.1)*D455</f>
        <v>12.59</v>
      </c>
      <c r="K455" s="88">
        <f>(10.8*2.7-2*2.1)*D455</f>
        <v>9.98</v>
      </c>
      <c r="L455" s="88">
        <f>(9.78*2.7-2*2.1)*D455</f>
        <v>8.8800000000000008</v>
      </c>
      <c r="M455" s="88">
        <f>(10.8*2.7-2*2.1)*D455</f>
        <v>9.98</v>
      </c>
      <c r="N455" s="29"/>
      <c r="O455" s="29"/>
      <c r="P455" s="49" t="str">
        <f>VLOOKUP(B455,'Форма КП'!$B$27:$G$49,5,FALSE)</f>
        <v>Материал заказчика</v>
      </c>
      <c r="Q455" s="50"/>
      <c r="R455" s="49" t="str">
        <f t="shared" si="266"/>
        <v>Материал заказчика</v>
      </c>
      <c r="S455" s="50"/>
    </row>
    <row r="456" spans="1:19" x14ac:dyDescent="0.25">
      <c r="A456" s="132" t="s">
        <v>620</v>
      </c>
      <c r="B456" s="128" t="s">
        <v>511</v>
      </c>
      <c r="C456" s="133" t="s">
        <v>512</v>
      </c>
      <c r="D456" s="90">
        <v>16</v>
      </c>
      <c r="E456" s="132" t="s">
        <v>228</v>
      </c>
      <c r="F456" s="134">
        <f t="shared" si="258"/>
        <v>2937.76</v>
      </c>
      <c r="G456" s="88">
        <f>G453*D456</f>
        <v>481.44</v>
      </c>
      <c r="H456" s="88">
        <f>H453*D456</f>
        <v>399.36</v>
      </c>
      <c r="I456" s="88">
        <f>I453*D456</f>
        <v>399.36</v>
      </c>
      <c r="J456" s="88">
        <f>J453*D456</f>
        <v>503.52</v>
      </c>
      <c r="K456" s="88">
        <f>K453*D456</f>
        <v>399.36</v>
      </c>
      <c r="L456" s="88">
        <f>L453*D456</f>
        <v>355.36</v>
      </c>
      <c r="M456" s="88">
        <f>M453*D456</f>
        <v>399.36</v>
      </c>
      <c r="N456" s="29"/>
      <c r="O456" s="29"/>
      <c r="P456" s="49" t="str">
        <f>VLOOKUP(B456,'Форма КП'!$B$27:$G$49,5,FALSE)</f>
        <v>Материал заказчика</v>
      </c>
      <c r="Q456" s="50"/>
      <c r="R456" s="49" t="str">
        <f t="shared" si="266"/>
        <v>Материал заказчика</v>
      </c>
      <c r="S456" s="50"/>
    </row>
    <row r="457" spans="1:19" ht="120" x14ac:dyDescent="0.25">
      <c r="A457" s="127" t="s">
        <v>621</v>
      </c>
      <c r="B457" s="128" t="s">
        <v>513</v>
      </c>
      <c r="C457" s="129" t="s">
        <v>777</v>
      </c>
      <c r="D457" s="130"/>
      <c r="E457" s="127" t="s">
        <v>224</v>
      </c>
      <c r="F457" s="131">
        <f t="shared" si="258"/>
        <v>669.66</v>
      </c>
      <c r="G457" s="115">
        <f>(59.41-2)*2.7-13.69*2.1</f>
        <v>126.26</v>
      </c>
      <c r="H457" s="115">
        <f>(39.06-2)*2.7-8.9*2.1-1.37*1.7</f>
        <v>79.040000000000006</v>
      </c>
      <c r="I457" s="115">
        <f>(39.06-2)*2.7-8.9*2.1-1.37*1.7</f>
        <v>79.040000000000006</v>
      </c>
      <c r="J457" s="115">
        <f>52.31*2.7-12.69*2.1</f>
        <v>114.59</v>
      </c>
      <c r="K457" s="115">
        <f>39.06*2.7-8.9*2.1-1.37*1.7</f>
        <v>84.44</v>
      </c>
      <c r="L457" s="115">
        <f>48.2*2.7-10.9*2.1</f>
        <v>107.25</v>
      </c>
      <c r="M457" s="115">
        <f>(39.06-2)*2.7-8.9*2.1-1.37*1.7</f>
        <v>79.040000000000006</v>
      </c>
      <c r="N457" s="104">
        <f>VLOOKUP(B457,'Форма КП'!$B$17:$G$25,5,FALSE)</f>
        <v>0</v>
      </c>
      <c r="O457" s="104">
        <f>N457*F457</f>
        <v>0</v>
      </c>
      <c r="P457" s="104"/>
      <c r="Q457" s="104"/>
      <c r="R457" s="104">
        <f>N457</f>
        <v>0</v>
      </c>
      <c r="S457" s="104">
        <f>N457*F457</f>
        <v>0</v>
      </c>
    </row>
    <row r="458" spans="1:19" x14ac:dyDescent="0.25">
      <c r="A458" s="132" t="s">
        <v>622</v>
      </c>
      <c r="B458" s="128" t="s">
        <v>484</v>
      </c>
      <c r="C458" s="133" t="s">
        <v>225</v>
      </c>
      <c r="D458" s="90">
        <v>0.15</v>
      </c>
      <c r="E458" s="132" t="s">
        <v>226</v>
      </c>
      <c r="F458" s="134">
        <f t="shared" si="258"/>
        <v>100.47</v>
      </c>
      <c r="G458" s="88">
        <f>G457*D458</f>
        <v>18.940000000000001</v>
      </c>
      <c r="H458" s="88">
        <f>H457*D458</f>
        <v>11.86</v>
      </c>
      <c r="I458" s="88">
        <f>I457*D458</f>
        <v>11.86</v>
      </c>
      <c r="J458" s="88">
        <f>J457*D458</f>
        <v>17.190000000000001</v>
      </c>
      <c r="K458" s="88">
        <f>K457*D458</f>
        <v>12.67</v>
      </c>
      <c r="L458" s="88">
        <f>L457*D458</f>
        <v>16.09</v>
      </c>
      <c r="M458" s="88">
        <f>M457*D458</f>
        <v>11.86</v>
      </c>
      <c r="N458" s="29"/>
      <c r="O458" s="29"/>
      <c r="P458" s="49" t="str">
        <f>VLOOKUP(B458,'Форма КП'!$B$27:$G$49,5,FALSE)</f>
        <v>Материал заказчика</v>
      </c>
      <c r="Q458" s="50"/>
      <c r="R458" s="49" t="str">
        <f t="shared" ref="R458:R459" si="268">P458</f>
        <v>Материал заказчика</v>
      </c>
      <c r="S458" s="50"/>
    </row>
    <row r="459" spans="1:19" x14ac:dyDescent="0.25">
      <c r="A459" s="132" t="s">
        <v>623</v>
      </c>
      <c r="B459" s="128" t="s">
        <v>514</v>
      </c>
      <c r="C459" s="133" t="s">
        <v>515</v>
      </c>
      <c r="D459" s="90">
        <v>5</v>
      </c>
      <c r="E459" s="132" t="s">
        <v>228</v>
      </c>
      <c r="F459" s="134">
        <f t="shared" si="258"/>
        <v>3348.3</v>
      </c>
      <c r="G459" s="88">
        <f>G457*D459</f>
        <v>631.29999999999995</v>
      </c>
      <c r="H459" s="88">
        <f>H457*D459</f>
        <v>395.2</v>
      </c>
      <c r="I459" s="88">
        <f>I457*D459</f>
        <v>395.2</v>
      </c>
      <c r="J459" s="88">
        <f>J457*D459</f>
        <v>572.95000000000005</v>
      </c>
      <c r="K459" s="88">
        <f>K457*D459</f>
        <v>422.2</v>
      </c>
      <c r="L459" s="88">
        <f>L457*D459</f>
        <v>536.25</v>
      </c>
      <c r="M459" s="88">
        <f>M457*D459</f>
        <v>395.2</v>
      </c>
      <c r="N459" s="29"/>
      <c r="O459" s="29"/>
      <c r="P459" s="49" t="str">
        <f>VLOOKUP(B459,'Форма КП'!$B$27:$G$49,5,FALSE)</f>
        <v>Материал заказчика</v>
      </c>
      <c r="Q459" s="50"/>
      <c r="R459" s="49" t="str">
        <f t="shared" si="268"/>
        <v>Материал заказчика</v>
      </c>
      <c r="S459" s="50"/>
    </row>
    <row r="460" spans="1:19" ht="156" x14ac:dyDescent="0.25">
      <c r="A460" s="127" t="s">
        <v>624</v>
      </c>
      <c r="B460" s="128" t="s">
        <v>493</v>
      </c>
      <c r="C460" s="129" t="s">
        <v>780</v>
      </c>
      <c r="D460" s="130"/>
      <c r="E460" s="127" t="s">
        <v>224</v>
      </c>
      <c r="F460" s="131">
        <f t="shared" si="258"/>
        <v>14.4</v>
      </c>
      <c r="G460" s="112">
        <f>0.2*2*6</f>
        <v>2.4</v>
      </c>
      <c r="H460" s="112">
        <f t="shared" ref="H460:M460" si="269">0.2*2*5</f>
        <v>2</v>
      </c>
      <c r="I460" s="112">
        <f t="shared" si="269"/>
        <v>2</v>
      </c>
      <c r="J460" s="112">
        <f t="shared" si="269"/>
        <v>2</v>
      </c>
      <c r="K460" s="112">
        <f t="shared" si="269"/>
        <v>2</v>
      </c>
      <c r="L460" s="112">
        <f t="shared" si="269"/>
        <v>2</v>
      </c>
      <c r="M460" s="112">
        <f t="shared" si="269"/>
        <v>2</v>
      </c>
      <c r="N460" s="104">
        <f>VLOOKUP(B460,'Форма КП'!$B$17:$G$25,5,FALSE)</f>
        <v>0</v>
      </c>
      <c r="O460" s="104">
        <f>N460*F460</f>
        <v>0</v>
      </c>
      <c r="P460" s="104"/>
      <c r="Q460" s="104"/>
      <c r="R460" s="104">
        <f>N460</f>
        <v>0</v>
      </c>
      <c r="S460" s="104">
        <f>N460*F460</f>
        <v>0</v>
      </c>
    </row>
    <row r="461" spans="1:19" x14ac:dyDescent="0.25">
      <c r="A461" s="132" t="s">
        <v>625</v>
      </c>
      <c r="B461" s="128" t="s">
        <v>484</v>
      </c>
      <c r="C461" s="133" t="s">
        <v>225</v>
      </c>
      <c r="D461" s="90">
        <v>0.15</v>
      </c>
      <c r="E461" s="132" t="s">
        <v>226</v>
      </c>
      <c r="F461" s="134">
        <f t="shared" si="258"/>
        <v>2.16</v>
      </c>
      <c r="G461" s="88">
        <f>G460*D461</f>
        <v>0.36</v>
      </c>
      <c r="H461" s="88">
        <f>H460*D461</f>
        <v>0.3</v>
      </c>
      <c r="I461" s="88">
        <f>I460*D461</f>
        <v>0.3</v>
      </c>
      <c r="J461" s="88">
        <f>J460*D461</f>
        <v>0.3</v>
      </c>
      <c r="K461" s="88">
        <f>K460*D461</f>
        <v>0.3</v>
      </c>
      <c r="L461" s="88">
        <f>L460*D461</f>
        <v>0.3</v>
      </c>
      <c r="M461" s="88">
        <f>M460*D461</f>
        <v>0.3</v>
      </c>
      <c r="N461" s="29"/>
      <c r="O461" s="29"/>
      <c r="P461" s="49" t="str">
        <f>VLOOKUP(B461,'Форма КП'!$B$27:$G$49,5,FALSE)</f>
        <v>Материал заказчика</v>
      </c>
      <c r="Q461" s="50"/>
      <c r="R461" s="49" t="str">
        <f t="shared" ref="R461:R464" si="270">P461</f>
        <v>Материал заказчика</v>
      </c>
      <c r="S461" s="50"/>
    </row>
    <row r="462" spans="1:19" x14ac:dyDescent="0.25">
      <c r="A462" s="132" t="s">
        <v>626</v>
      </c>
      <c r="B462" s="128" t="s">
        <v>496</v>
      </c>
      <c r="C462" s="133" t="s">
        <v>227</v>
      </c>
      <c r="D462" s="90">
        <v>10</v>
      </c>
      <c r="E462" s="132" t="s">
        <v>228</v>
      </c>
      <c r="F462" s="134">
        <f t="shared" si="258"/>
        <v>144</v>
      </c>
      <c r="G462" s="88">
        <f>G460*D462</f>
        <v>24</v>
      </c>
      <c r="H462" s="88">
        <f>H460*D462</f>
        <v>20</v>
      </c>
      <c r="I462" s="88">
        <f>I460*D462</f>
        <v>20</v>
      </c>
      <c r="J462" s="88">
        <f>J460*D462</f>
        <v>20</v>
      </c>
      <c r="K462" s="88">
        <f>K460*D462</f>
        <v>20</v>
      </c>
      <c r="L462" s="88">
        <f>L460*D462</f>
        <v>20</v>
      </c>
      <c r="M462" s="88">
        <f>M460*D462</f>
        <v>20</v>
      </c>
      <c r="N462" s="29"/>
      <c r="O462" s="29"/>
      <c r="P462" s="49" t="str">
        <f>VLOOKUP(B462,'Форма КП'!$B$27:$G$49,5,FALSE)</f>
        <v>Материал заказчика</v>
      </c>
      <c r="Q462" s="50"/>
      <c r="R462" s="49" t="str">
        <f t="shared" si="270"/>
        <v>Материал заказчика</v>
      </c>
      <c r="S462" s="50"/>
    </row>
    <row r="463" spans="1:19" x14ac:dyDescent="0.25">
      <c r="A463" s="132" t="s">
        <v>627</v>
      </c>
      <c r="B463" s="128" t="s">
        <v>523</v>
      </c>
      <c r="C463" s="133" t="s">
        <v>229</v>
      </c>
      <c r="D463" s="90">
        <v>0.2</v>
      </c>
      <c r="E463" s="132" t="s">
        <v>228</v>
      </c>
      <c r="F463" s="134">
        <f t="shared" si="258"/>
        <v>2.88</v>
      </c>
      <c r="G463" s="88">
        <f>G460*D463</f>
        <v>0.48</v>
      </c>
      <c r="H463" s="88">
        <f>H460*D463</f>
        <v>0.4</v>
      </c>
      <c r="I463" s="88">
        <f>I460*D463</f>
        <v>0.4</v>
      </c>
      <c r="J463" s="88">
        <f>J460*D463</f>
        <v>0.4</v>
      </c>
      <c r="K463" s="88">
        <f>K460*D463</f>
        <v>0.4</v>
      </c>
      <c r="L463" s="88">
        <f>L460*D463</f>
        <v>0.4</v>
      </c>
      <c r="M463" s="88">
        <f>M460*D463</f>
        <v>0.4</v>
      </c>
      <c r="N463" s="29"/>
      <c r="O463" s="29"/>
      <c r="P463" s="49" t="str">
        <f>VLOOKUP(B463,'Форма КП'!$B$27:$G$49,5,FALSE)</f>
        <v>Материал заказчика</v>
      </c>
      <c r="Q463" s="50"/>
      <c r="R463" s="49" t="str">
        <f t="shared" si="270"/>
        <v>Материал заказчика</v>
      </c>
      <c r="S463" s="50"/>
    </row>
    <row r="464" spans="1:19" x14ac:dyDescent="0.25">
      <c r="A464" s="132" t="s">
        <v>628</v>
      </c>
      <c r="B464" s="128" t="s">
        <v>501</v>
      </c>
      <c r="C464" s="133" t="s">
        <v>502</v>
      </c>
      <c r="D464" s="90">
        <v>1.05</v>
      </c>
      <c r="E464" s="132" t="s">
        <v>224</v>
      </c>
      <c r="F464" s="134">
        <f t="shared" si="258"/>
        <v>15.12</v>
      </c>
      <c r="G464" s="88">
        <f>G460*D464</f>
        <v>2.52</v>
      </c>
      <c r="H464" s="88">
        <f>H460*D464</f>
        <v>2.1</v>
      </c>
      <c r="I464" s="88">
        <f>I460*D464</f>
        <v>2.1</v>
      </c>
      <c r="J464" s="88">
        <f>J460*D464</f>
        <v>2.1</v>
      </c>
      <c r="K464" s="88">
        <f>K460*D464</f>
        <v>2.1</v>
      </c>
      <c r="L464" s="88">
        <f>L460*D464</f>
        <v>2.1</v>
      </c>
      <c r="M464" s="88">
        <f>M460*D464</f>
        <v>2.1</v>
      </c>
      <c r="N464" s="29"/>
      <c r="O464" s="29"/>
      <c r="P464" s="49" t="str">
        <f>VLOOKUP(B464,'Форма КП'!$B$27:$G$49,5,FALSE)</f>
        <v>Материал заказчика</v>
      </c>
      <c r="Q464" s="50"/>
      <c r="R464" s="49" t="str">
        <f t="shared" si="270"/>
        <v>Материал заказчика</v>
      </c>
      <c r="S464" s="50"/>
    </row>
    <row r="465" spans="1:19" ht="108" x14ac:dyDescent="0.25">
      <c r="A465" s="127" t="s">
        <v>629</v>
      </c>
      <c r="B465" s="128" t="s">
        <v>505</v>
      </c>
      <c r="C465" s="129" t="s">
        <v>779</v>
      </c>
      <c r="D465" s="130"/>
      <c r="E465" s="127" t="s">
        <v>224</v>
      </c>
      <c r="F465" s="131">
        <f t="shared" si="258"/>
        <v>247.76</v>
      </c>
      <c r="G465" s="113">
        <v>35.69</v>
      </c>
      <c r="H465" s="113">
        <v>35.18</v>
      </c>
      <c r="I465" s="113">
        <v>35.18</v>
      </c>
      <c r="J465" s="113">
        <v>35.659999999999997</v>
      </c>
      <c r="K465" s="113">
        <v>35.18</v>
      </c>
      <c r="L465" s="113">
        <v>35.69</v>
      </c>
      <c r="M465" s="113">
        <v>35.18</v>
      </c>
      <c r="N465" s="104">
        <f>VLOOKUP(B465,'Форма КП'!$B$17:$G$25,5,FALSE)</f>
        <v>0</v>
      </c>
      <c r="O465" s="104">
        <f>N465*F465</f>
        <v>0</v>
      </c>
      <c r="P465" s="104"/>
      <c r="Q465" s="104"/>
      <c r="R465" s="104">
        <f>N465</f>
        <v>0</v>
      </c>
      <c r="S465" s="104">
        <f>N465*F465</f>
        <v>0</v>
      </c>
    </row>
    <row r="466" spans="1:19" x14ac:dyDescent="0.25">
      <c r="A466" s="132" t="s">
        <v>630</v>
      </c>
      <c r="B466" s="128" t="s">
        <v>484</v>
      </c>
      <c r="C466" s="133" t="s">
        <v>225</v>
      </c>
      <c r="D466" s="90">
        <v>0.15</v>
      </c>
      <c r="E466" s="132" t="s">
        <v>226</v>
      </c>
      <c r="F466" s="134">
        <f t="shared" si="258"/>
        <v>37.17</v>
      </c>
      <c r="G466" s="88">
        <f>G465*D466</f>
        <v>5.35</v>
      </c>
      <c r="H466" s="88">
        <f>H465*D466</f>
        <v>5.28</v>
      </c>
      <c r="I466" s="88">
        <f>I465*D466</f>
        <v>5.28</v>
      </c>
      <c r="J466" s="88">
        <f>J465*D466</f>
        <v>5.35</v>
      </c>
      <c r="K466" s="88">
        <f>K465*D466</f>
        <v>5.28</v>
      </c>
      <c r="L466" s="88">
        <f>L465*D466</f>
        <v>5.35</v>
      </c>
      <c r="M466" s="88">
        <f>M465*D466</f>
        <v>5.28</v>
      </c>
      <c r="N466" s="29"/>
      <c r="O466" s="29"/>
      <c r="P466" s="49" t="str">
        <f>VLOOKUP(B466,'Форма КП'!$B$27:$G$49,5,FALSE)</f>
        <v>Материал заказчика</v>
      </c>
      <c r="Q466" s="50"/>
      <c r="R466" s="49" t="str">
        <f t="shared" ref="R466:R467" si="271">P466</f>
        <v>Материал заказчика</v>
      </c>
      <c r="S466" s="50"/>
    </row>
    <row r="467" spans="1:19" ht="24" x14ac:dyDescent="0.25">
      <c r="A467" s="132" t="s">
        <v>631</v>
      </c>
      <c r="B467" s="128" t="s">
        <v>506</v>
      </c>
      <c r="C467" s="133" t="s">
        <v>507</v>
      </c>
      <c r="D467" s="90">
        <v>0.25</v>
      </c>
      <c r="E467" s="132" t="s">
        <v>226</v>
      </c>
      <c r="F467" s="134">
        <f t="shared" si="258"/>
        <v>61.96</v>
      </c>
      <c r="G467" s="88">
        <f>G465*D467</f>
        <v>8.92</v>
      </c>
      <c r="H467" s="88">
        <f>H465*D467</f>
        <v>8.8000000000000007</v>
      </c>
      <c r="I467" s="88">
        <f>I465*D467</f>
        <v>8.8000000000000007</v>
      </c>
      <c r="J467" s="88">
        <f>J465*D467</f>
        <v>8.92</v>
      </c>
      <c r="K467" s="88">
        <f>K465*D467</f>
        <v>8.8000000000000007</v>
      </c>
      <c r="L467" s="88">
        <f>L465*D467</f>
        <v>8.92</v>
      </c>
      <c r="M467" s="88">
        <f>M465*D467</f>
        <v>8.8000000000000007</v>
      </c>
      <c r="N467" s="29"/>
      <c r="O467" s="29"/>
      <c r="P467" s="49" t="str">
        <f>VLOOKUP(B467,'Форма КП'!$B$27:$G$49,5,FALSE)</f>
        <v>Материал заказчика</v>
      </c>
      <c r="Q467" s="50"/>
      <c r="R467" s="49" t="str">
        <f t="shared" si="271"/>
        <v>Материал заказчика</v>
      </c>
      <c r="S467" s="50"/>
    </row>
    <row r="468" spans="1:19" ht="108" x14ac:dyDescent="0.25">
      <c r="A468" s="127" t="s">
        <v>632</v>
      </c>
      <c r="B468" s="128" t="s">
        <v>505</v>
      </c>
      <c r="C468" s="129" t="s">
        <v>779</v>
      </c>
      <c r="D468" s="130"/>
      <c r="E468" s="127" t="s">
        <v>224</v>
      </c>
      <c r="F468" s="131">
        <f t="shared" si="258"/>
        <v>45.92</v>
      </c>
      <c r="G468" s="113">
        <f t="shared" ref="G468:M468" si="272">2.43*2.7</f>
        <v>6.56</v>
      </c>
      <c r="H468" s="113">
        <f t="shared" si="272"/>
        <v>6.56</v>
      </c>
      <c r="I468" s="113">
        <f t="shared" si="272"/>
        <v>6.56</v>
      </c>
      <c r="J468" s="113">
        <f t="shared" si="272"/>
        <v>6.56</v>
      </c>
      <c r="K468" s="113">
        <f t="shared" si="272"/>
        <v>6.56</v>
      </c>
      <c r="L468" s="113">
        <f t="shared" si="272"/>
        <v>6.56</v>
      </c>
      <c r="M468" s="113">
        <f t="shared" si="272"/>
        <v>6.56</v>
      </c>
      <c r="N468" s="104">
        <f>VLOOKUP(B468,'Форма КП'!$B$17:$G$25,5,FALSE)</f>
        <v>0</v>
      </c>
      <c r="O468" s="104">
        <f>N468*F468</f>
        <v>0</v>
      </c>
      <c r="P468" s="104"/>
      <c r="Q468" s="104"/>
      <c r="R468" s="104">
        <f>N468</f>
        <v>0</v>
      </c>
      <c r="S468" s="104">
        <f>N468*F468</f>
        <v>0</v>
      </c>
    </row>
    <row r="469" spans="1:19" x14ac:dyDescent="0.25">
      <c r="A469" s="132" t="s">
        <v>633</v>
      </c>
      <c r="B469" s="128" t="s">
        <v>484</v>
      </c>
      <c r="C469" s="133" t="s">
        <v>225</v>
      </c>
      <c r="D469" s="90">
        <v>0.15</v>
      </c>
      <c r="E469" s="132" t="s">
        <v>226</v>
      </c>
      <c r="F469" s="134">
        <f t="shared" si="258"/>
        <v>6.86</v>
      </c>
      <c r="G469" s="88">
        <f>G468*D469</f>
        <v>0.98</v>
      </c>
      <c r="H469" s="88">
        <f>H468*D469</f>
        <v>0.98</v>
      </c>
      <c r="I469" s="88">
        <f>I468*D469</f>
        <v>0.98</v>
      </c>
      <c r="J469" s="88">
        <f>J468*D469</f>
        <v>0.98</v>
      </c>
      <c r="K469" s="88">
        <f>K468*D469</f>
        <v>0.98</v>
      </c>
      <c r="L469" s="88">
        <f>L468*D469</f>
        <v>0.98</v>
      </c>
      <c r="M469" s="88">
        <f>M468*D469</f>
        <v>0.98</v>
      </c>
      <c r="N469" s="29"/>
      <c r="O469" s="29"/>
      <c r="P469" s="49" t="str">
        <f>VLOOKUP(B469,'Форма КП'!$B$27:$G$49,5,FALSE)</f>
        <v>Материал заказчика</v>
      </c>
      <c r="Q469" s="50"/>
      <c r="R469" s="49" t="str">
        <f t="shared" ref="R469:R470" si="273">P469</f>
        <v>Материал заказчика</v>
      </c>
      <c r="S469" s="50"/>
    </row>
    <row r="470" spans="1:19" ht="24" x14ac:dyDescent="0.25">
      <c r="A470" s="132" t="s">
        <v>634</v>
      </c>
      <c r="B470" s="128" t="s">
        <v>508</v>
      </c>
      <c r="C470" s="133" t="s">
        <v>509</v>
      </c>
      <c r="D470" s="90">
        <v>0.25</v>
      </c>
      <c r="E470" s="132" t="s">
        <v>226</v>
      </c>
      <c r="F470" s="134">
        <f t="shared" si="258"/>
        <v>11.48</v>
      </c>
      <c r="G470" s="88">
        <f>G468*D470</f>
        <v>1.64</v>
      </c>
      <c r="H470" s="88">
        <f>H468*D470</f>
        <v>1.64</v>
      </c>
      <c r="I470" s="88">
        <f>I468*D470</f>
        <v>1.64</v>
      </c>
      <c r="J470" s="88">
        <f>J468*D470</f>
        <v>1.64</v>
      </c>
      <c r="K470" s="88">
        <f>K468*D470</f>
        <v>1.64</v>
      </c>
      <c r="L470" s="88">
        <f>L468*D470</f>
        <v>1.64</v>
      </c>
      <c r="M470" s="88">
        <f>M468*D470</f>
        <v>1.64</v>
      </c>
      <c r="N470" s="29"/>
      <c r="O470" s="29"/>
      <c r="P470" s="49" t="str">
        <f>VLOOKUP(B470,'Форма КП'!$B$27:$G$49,5,FALSE)</f>
        <v>Материал заказчика</v>
      </c>
      <c r="Q470" s="50"/>
      <c r="R470" s="49" t="str">
        <f t="shared" si="273"/>
        <v>Материал заказчика</v>
      </c>
      <c r="S470" s="50"/>
    </row>
    <row r="471" spans="1:19" x14ac:dyDescent="0.25">
      <c r="A471" s="126" t="s">
        <v>232</v>
      </c>
      <c r="B471" s="120"/>
      <c r="C471" s="121"/>
      <c r="D471" s="122"/>
      <c r="E471" s="123"/>
      <c r="F471" s="124"/>
      <c r="G471" s="125"/>
      <c r="H471" s="125"/>
      <c r="I471" s="125"/>
      <c r="J471" s="125"/>
      <c r="K471" s="125"/>
      <c r="L471" s="125"/>
      <c r="M471" s="125"/>
      <c r="N471" s="33"/>
      <c r="O471" s="33"/>
      <c r="P471" s="33"/>
      <c r="Q471" s="33"/>
      <c r="R471" s="33"/>
      <c r="S471" s="31"/>
    </row>
    <row r="472" spans="1:19" ht="216" x14ac:dyDescent="0.25">
      <c r="A472" s="127" t="s">
        <v>635</v>
      </c>
      <c r="B472" s="128" t="s">
        <v>510</v>
      </c>
      <c r="C472" s="129" t="s">
        <v>776</v>
      </c>
      <c r="D472" s="130"/>
      <c r="E472" s="127" t="s">
        <v>224</v>
      </c>
      <c r="F472" s="131">
        <f t="shared" ref="F472:F486" si="274">SUM(G472:M472)</f>
        <v>2475.61</v>
      </c>
      <c r="G472" s="113">
        <f>117.7*2.78+7.6*0.68+14.6*1.2+11.8*0.5+3.6*0.48</f>
        <v>357.52</v>
      </c>
      <c r="H472" s="113">
        <f>116.62*2.78+3*0.68+9.8*0.5+11.8*1.2+7.4*0.48</f>
        <v>348.86</v>
      </c>
      <c r="I472" s="113">
        <f>116.62*2.78+3*0.68+9.8*0.5+11.8*1.2+7.4*0.48</f>
        <v>348.86</v>
      </c>
      <c r="J472" s="113">
        <f>135.76*2.78+9.6*0.5+16.5*1.2+9.6*0.68+3.6*0.48</f>
        <v>410.27</v>
      </c>
      <c r="K472" s="116">
        <f>131.42*2.7-3*2.1-17.17*1.7-9.87*2.3+9.2*0.4</f>
        <v>300.32</v>
      </c>
      <c r="L472" s="116">
        <f>165.09*2.7-10.6*2.1-16.57*1.7-9.87*2.3+3.6*0.4</f>
        <v>374.05</v>
      </c>
      <c r="M472" s="116">
        <f>144.8*2.7-3*2.1-17.17*1.7-9.87*2.3+7.4*0.4</f>
        <v>335.73</v>
      </c>
      <c r="N472" s="104">
        <f>VLOOKUP(B472,'Форма КП'!$B$17:$G$25,5,FALSE)</f>
        <v>0</v>
      </c>
      <c r="O472" s="104">
        <f>N472*F472</f>
        <v>0</v>
      </c>
      <c r="P472" s="104"/>
      <c r="Q472" s="104"/>
      <c r="R472" s="104">
        <f>N472</f>
        <v>0</v>
      </c>
      <c r="S472" s="104">
        <f>N472*F472</f>
        <v>0</v>
      </c>
    </row>
    <row r="473" spans="1:19" x14ac:dyDescent="0.25">
      <c r="A473" s="132" t="s">
        <v>636</v>
      </c>
      <c r="B473" s="128" t="s">
        <v>486</v>
      </c>
      <c r="C473" s="133" t="s">
        <v>487</v>
      </c>
      <c r="D473" s="90">
        <v>1.45</v>
      </c>
      <c r="E473" s="132" t="s">
        <v>6</v>
      </c>
      <c r="F473" s="134">
        <f t="shared" si="274"/>
        <v>3589.63</v>
      </c>
      <c r="G473" s="88">
        <f>G472*D473</f>
        <v>518.4</v>
      </c>
      <c r="H473" s="88">
        <f>H472*D473</f>
        <v>505.85</v>
      </c>
      <c r="I473" s="88">
        <f>I472*D473</f>
        <v>505.85</v>
      </c>
      <c r="J473" s="88">
        <f>J472*D473</f>
        <v>594.89</v>
      </c>
      <c r="K473" s="106">
        <f>K472*D473</f>
        <v>435.46</v>
      </c>
      <c r="L473" s="106">
        <f>L472*D473</f>
        <v>542.37</v>
      </c>
      <c r="M473" s="106">
        <f>M472*D473</f>
        <v>486.81</v>
      </c>
      <c r="N473" s="29"/>
      <c r="O473" s="29"/>
      <c r="P473" s="86">
        <f>VLOOKUP(B473,'Форма КП'!$B$27:$G$49,5,FALSE)</f>
        <v>0</v>
      </c>
      <c r="Q473" s="86">
        <f t="shared" ref="Q473" si="275">P473*F473</f>
        <v>0</v>
      </c>
      <c r="R473" s="32">
        <f t="shared" ref="R473:R475" si="276">P473</f>
        <v>0</v>
      </c>
      <c r="S473" s="32">
        <f t="shared" ref="S473" si="277">P473*F473</f>
        <v>0</v>
      </c>
    </row>
    <row r="474" spans="1:19" x14ac:dyDescent="0.25">
      <c r="A474" s="132" t="s">
        <v>637</v>
      </c>
      <c r="B474" s="128" t="s">
        <v>488</v>
      </c>
      <c r="C474" s="133" t="s">
        <v>489</v>
      </c>
      <c r="D474" s="90">
        <v>0.2</v>
      </c>
      <c r="E474" s="132" t="s">
        <v>228</v>
      </c>
      <c r="F474" s="134">
        <f t="shared" si="274"/>
        <v>495.11</v>
      </c>
      <c r="G474" s="88">
        <f>G472*D474</f>
        <v>71.5</v>
      </c>
      <c r="H474" s="88">
        <f>H472*D474</f>
        <v>69.77</v>
      </c>
      <c r="I474" s="88">
        <f>I472*D474</f>
        <v>69.77</v>
      </c>
      <c r="J474" s="88">
        <f>J472*D474</f>
        <v>82.05</v>
      </c>
      <c r="K474" s="106">
        <f>(131.42*2.7-3*2.1-17.17*1.7-9.87*2.3+9.2*0.4)*D474</f>
        <v>60.06</v>
      </c>
      <c r="L474" s="106">
        <f>(165.09*2.7-10.6*2.1-16.57*1.7-9.87*2.3+3.6*0.4)*D474</f>
        <v>74.81</v>
      </c>
      <c r="M474" s="106">
        <f>(144.8*2.7-3*2.1-17.17*1.7-9.87*2.3+7.4*0.4)*D474</f>
        <v>67.150000000000006</v>
      </c>
      <c r="N474" s="29"/>
      <c r="O474" s="29"/>
      <c r="P474" s="49" t="str">
        <f>VLOOKUP(B474,'Форма КП'!$B$27:$G$49,5,FALSE)</f>
        <v>Материал заказчика</v>
      </c>
      <c r="Q474" s="50"/>
      <c r="R474" s="49" t="str">
        <f t="shared" si="276"/>
        <v>Материал заказчика</v>
      </c>
      <c r="S474" s="50"/>
    </row>
    <row r="475" spans="1:19" x14ac:dyDescent="0.25">
      <c r="A475" s="132" t="s">
        <v>638</v>
      </c>
      <c r="B475" s="128" t="s">
        <v>511</v>
      </c>
      <c r="C475" s="133" t="s">
        <v>512</v>
      </c>
      <c r="D475" s="90">
        <v>16</v>
      </c>
      <c r="E475" s="132" t="s">
        <v>228</v>
      </c>
      <c r="F475" s="134">
        <f t="shared" si="274"/>
        <v>39609.760000000002</v>
      </c>
      <c r="G475" s="88">
        <f>G472*D475</f>
        <v>5720.32</v>
      </c>
      <c r="H475" s="88">
        <f>H472*D475</f>
        <v>5581.76</v>
      </c>
      <c r="I475" s="88">
        <f>I472*D475</f>
        <v>5581.76</v>
      </c>
      <c r="J475" s="88">
        <f>J472*D475</f>
        <v>6564.32</v>
      </c>
      <c r="K475" s="106">
        <f>K472*D475</f>
        <v>4805.12</v>
      </c>
      <c r="L475" s="106">
        <f>L472*D475</f>
        <v>5984.8</v>
      </c>
      <c r="M475" s="106">
        <f>M472*D475</f>
        <v>5371.68</v>
      </c>
      <c r="N475" s="29"/>
      <c r="O475" s="29"/>
      <c r="P475" s="49" t="str">
        <f>VLOOKUP(B475,'Форма КП'!$B$27:$G$49,5,FALSE)</f>
        <v>Материал заказчика</v>
      </c>
      <c r="Q475" s="50"/>
      <c r="R475" s="49" t="str">
        <f t="shared" si="276"/>
        <v>Материал заказчика</v>
      </c>
      <c r="S475" s="50"/>
    </row>
    <row r="476" spans="1:19" ht="216" x14ac:dyDescent="0.25">
      <c r="A476" s="127" t="s">
        <v>639</v>
      </c>
      <c r="B476" s="128" t="s">
        <v>510</v>
      </c>
      <c r="C476" s="129" t="s">
        <v>776</v>
      </c>
      <c r="D476" s="130"/>
      <c r="E476" s="127" t="s">
        <v>224</v>
      </c>
      <c r="F476" s="131">
        <f t="shared" si="274"/>
        <v>2310.37</v>
      </c>
      <c r="G476" s="113">
        <f>130*2.78+21.6*0.68</f>
        <v>376.09</v>
      </c>
      <c r="H476" s="113">
        <f>111.56*2.78+17.8*0.68</f>
        <v>322.24</v>
      </c>
      <c r="I476" s="113">
        <f>111.56*2.78+17.8*0.68</f>
        <v>322.24</v>
      </c>
      <c r="J476" s="113">
        <f>121*2.78+25.2*0.68</f>
        <v>353.52</v>
      </c>
      <c r="K476" s="116">
        <f>118.52*2.7-16*2.1</f>
        <v>286.39999999999998</v>
      </c>
      <c r="L476" s="116">
        <f>148.27*2.7-25.4*2.1</f>
        <v>346.99</v>
      </c>
      <c r="M476" s="116">
        <f>125.87*2.7-17.6*2.1</f>
        <v>302.89</v>
      </c>
      <c r="N476" s="104">
        <f>VLOOKUP(B476,'Форма КП'!$B$17:$G$25,5,FALSE)</f>
        <v>0</v>
      </c>
      <c r="O476" s="104">
        <f>N476*F476</f>
        <v>0</v>
      </c>
      <c r="P476" s="104"/>
      <c r="Q476" s="104"/>
      <c r="R476" s="104">
        <f>N476</f>
        <v>0</v>
      </c>
      <c r="S476" s="104">
        <f>N476*F476</f>
        <v>0</v>
      </c>
    </row>
    <row r="477" spans="1:19" x14ac:dyDescent="0.25">
      <c r="A477" s="132" t="s">
        <v>640</v>
      </c>
      <c r="B477" s="128" t="s">
        <v>486</v>
      </c>
      <c r="C477" s="133" t="s">
        <v>487</v>
      </c>
      <c r="D477" s="90">
        <v>1.45</v>
      </c>
      <c r="E477" s="132" t="s">
        <v>6</v>
      </c>
      <c r="F477" s="134">
        <f t="shared" si="274"/>
        <v>3350.04</v>
      </c>
      <c r="G477" s="88">
        <f>G476*D477</f>
        <v>545.33000000000004</v>
      </c>
      <c r="H477" s="88">
        <f>H476*D477</f>
        <v>467.25</v>
      </c>
      <c r="I477" s="88">
        <f>I476*D477</f>
        <v>467.25</v>
      </c>
      <c r="J477" s="88">
        <f>J476*D477</f>
        <v>512.6</v>
      </c>
      <c r="K477" s="106">
        <f>K476*D477</f>
        <v>415.28</v>
      </c>
      <c r="L477" s="106">
        <f>L476*D477</f>
        <v>503.14</v>
      </c>
      <c r="M477" s="106">
        <f>M476*D477</f>
        <v>439.19</v>
      </c>
      <c r="N477" s="29"/>
      <c r="O477" s="29"/>
      <c r="P477" s="86">
        <f>VLOOKUP(B477,'Форма КП'!$B$27:$G$49,5,FALSE)</f>
        <v>0</v>
      </c>
      <c r="Q477" s="86">
        <f t="shared" ref="Q477" si="278">P477*F477</f>
        <v>0</v>
      </c>
      <c r="R477" s="32">
        <f t="shared" ref="R477:R479" si="279">P477</f>
        <v>0</v>
      </c>
      <c r="S477" s="32">
        <f t="shared" ref="S477" si="280">P477*F477</f>
        <v>0</v>
      </c>
    </row>
    <row r="478" spans="1:19" x14ac:dyDescent="0.25">
      <c r="A478" s="132" t="s">
        <v>641</v>
      </c>
      <c r="B478" s="128" t="s">
        <v>484</v>
      </c>
      <c r="C478" s="133" t="s">
        <v>225</v>
      </c>
      <c r="D478" s="90">
        <v>0.4</v>
      </c>
      <c r="E478" s="132" t="s">
        <v>226</v>
      </c>
      <c r="F478" s="134">
        <f t="shared" si="274"/>
        <v>924.17</v>
      </c>
      <c r="G478" s="88">
        <f>G476*D478</f>
        <v>150.44</v>
      </c>
      <c r="H478" s="88">
        <f>H476*D478</f>
        <v>128.9</v>
      </c>
      <c r="I478" s="88">
        <f>I476*D478</f>
        <v>128.9</v>
      </c>
      <c r="J478" s="88">
        <f>J476*D478</f>
        <v>141.41</v>
      </c>
      <c r="K478" s="106">
        <f>(118.52*2.7-16*2.1)*D478</f>
        <v>114.56</v>
      </c>
      <c r="L478" s="106">
        <f>(148.27*2.7-25.4*2.1)*D478</f>
        <v>138.80000000000001</v>
      </c>
      <c r="M478" s="106">
        <f>(125.87*2.7-17.6*2.1)*D478</f>
        <v>121.16</v>
      </c>
      <c r="N478" s="29"/>
      <c r="O478" s="29"/>
      <c r="P478" s="49" t="str">
        <f>VLOOKUP(B478,'Форма КП'!$B$27:$G$49,5,FALSE)</f>
        <v>Материал заказчика</v>
      </c>
      <c r="Q478" s="50"/>
      <c r="R478" s="49" t="str">
        <f t="shared" si="279"/>
        <v>Материал заказчика</v>
      </c>
      <c r="S478" s="50"/>
    </row>
    <row r="479" spans="1:19" x14ac:dyDescent="0.25">
      <c r="A479" s="132" t="s">
        <v>642</v>
      </c>
      <c r="B479" s="128" t="s">
        <v>511</v>
      </c>
      <c r="C479" s="133" t="s">
        <v>512</v>
      </c>
      <c r="D479" s="90">
        <v>16</v>
      </c>
      <c r="E479" s="132" t="s">
        <v>228</v>
      </c>
      <c r="F479" s="134">
        <f t="shared" si="274"/>
        <v>36965.919999999998</v>
      </c>
      <c r="G479" s="88">
        <f>G476*D479</f>
        <v>6017.44</v>
      </c>
      <c r="H479" s="88">
        <f>H476*D479</f>
        <v>5155.84</v>
      </c>
      <c r="I479" s="88">
        <f>I476*D479</f>
        <v>5155.84</v>
      </c>
      <c r="J479" s="88">
        <f>J476*D479</f>
        <v>5656.32</v>
      </c>
      <c r="K479" s="106">
        <f>K476*D479</f>
        <v>4582.3999999999996</v>
      </c>
      <c r="L479" s="106">
        <f>L476*D479</f>
        <v>5551.84</v>
      </c>
      <c r="M479" s="106">
        <f>M476*D479</f>
        <v>4846.24</v>
      </c>
      <c r="N479" s="29"/>
      <c r="O479" s="29"/>
      <c r="P479" s="49" t="str">
        <f>VLOOKUP(B479,'Форма КП'!$B$27:$G$49,5,FALSE)</f>
        <v>Материал заказчика</v>
      </c>
      <c r="Q479" s="50"/>
      <c r="R479" s="49" t="str">
        <f t="shared" si="279"/>
        <v>Материал заказчика</v>
      </c>
      <c r="S479" s="50"/>
    </row>
    <row r="480" spans="1:19" ht="132" x14ac:dyDescent="0.25">
      <c r="A480" s="127" t="s">
        <v>643</v>
      </c>
      <c r="B480" s="128" t="s">
        <v>481</v>
      </c>
      <c r="C480" s="129" t="s">
        <v>778</v>
      </c>
      <c r="D480" s="130"/>
      <c r="E480" s="127" t="s">
        <v>224</v>
      </c>
      <c r="F480" s="131">
        <f t="shared" si="274"/>
        <v>2093.27</v>
      </c>
      <c r="G480" s="116">
        <f>G476+G472</f>
        <v>733.61</v>
      </c>
      <c r="H480" s="116"/>
      <c r="I480" s="116"/>
      <c r="J480" s="116"/>
      <c r="K480" s="116"/>
      <c r="L480" s="116">
        <f>L472+L476</f>
        <v>721.04</v>
      </c>
      <c r="M480" s="116">
        <f>M472+M476</f>
        <v>638.62</v>
      </c>
      <c r="N480" s="104">
        <f>VLOOKUP(B480,'Форма КП'!$B$17:$G$25,5,FALSE)</f>
        <v>0</v>
      </c>
      <c r="O480" s="104">
        <f>N480*F480</f>
        <v>0</v>
      </c>
      <c r="P480" s="104"/>
      <c r="Q480" s="104"/>
      <c r="R480" s="104">
        <f>N480</f>
        <v>0</v>
      </c>
      <c r="S480" s="104">
        <f>N480*F480</f>
        <v>0</v>
      </c>
    </row>
    <row r="481" spans="1:19" x14ac:dyDescent="0.25">
      <c r="A481" s="132" t="s">
        <v>644</v>
      </c>
      <c r="B481" s="128" t="s">
        <v>482</v>
      </c>
      <c r="C481" s="133" t="s">
        <v>483</v>
      </c>
      <c r="D481" s="136">
        <v>2.4</v>
      </c>
      <c r="E481" s="132" t="s">
        <v>228</v>
      </c>
      <c r="F481" s="134">
        <f t="shared" si="274"/>
        <v>5023.8500000000004</v>
      </c>
      <c r="G481" s="88">
        <f>G480*D481</f>
        <v>1760.66</v>
      </c>
      <c r="H481" s="88">
        <f>H480*D481</f>
        <v>0</v>
      </c>
      <c r="I481" s="88">
        <f>I480*D481</f>
        <v>0</v>
      </c>
      <c r="J481" s="88">
        <f>J480*D481</f>
        <v>0</v>
      </c>
      <c r="K481" s="106">
        <f>K480*D481</f>
        <v>0</v>
      </c>
      <c r="L481" s="106">
        <f>L480*D481</f>
        <v>1730.5</v>
      </c>
      <c r="M481" s="106">
        <f>M480*D481</f>
        <v>1532.69</v>
      </c>
      <c r="N481" s="29"/>
      <c r="O481" s="29"/>
      <c r="P481" s="49" t="str">
        <f>VLOOKUP(B481,'Форма КП'!$B$27:$G$49,5,FALSE)</f>
        <v>Материал заказчика</v>
      </c>
      <c r="Q481" s="50"/>
      <c r="R481" s="49" t="str">
        <f t="shared" ref="R481:R482" si="281">P481</f>
        <v>Материал заказчика</v>
      </c>
      <c r="S481" s="50"/>
    </row>
    <row r="482" spans="1:19" x14ac:dyDescent="0.25">
      <c r="A482" s="132" t="s">
        <v>645</v>
      </c>
      <c r="B482" s="128" t="s">
        <v>484</v>
      </c>
      <c r="C482" s="133" t="s">
        <v>225</v>
      </c>
      <c r="D482" s="136">
        <v>0.15</v>
      </c>
      <c r="E482" s="132" t="s">
        <v>226</v>
      </c>
      <c r="F482" s="134">
        <f t="shared" si="274"/>
        <v>313.99</v>
      </c>
      <c r="G482" s="88">
        <f>G480*D482</f>
        <v>110.04</v>
      </c>
      <c r="H482" s="88">
        <f>H480*D482</f>
        <v>0</v>
      </c>
      <c r="I482" s="88">
        <f>I480*D482</f>
        <v>0</v>
      </c>
      <c r="J482" s="88">
        <f>J480*D482</f>
        <v>0</v>
      </c>
      <c r="K482" s="106">
        <f>K480*D482</f>
        <v>0</v>
      </c>
      <c r="L482" s="106">
        <f>L480*D482</f>
        <v>108.16</v>
      </c>
      <c r="M482" s="106">
        <f>M480*D482</f>
        <v>95.79</v>
      </c>
      <c r="N482" s="29"/>
      <c r="O482" s="29"/>
      <c r="P482" s="49" t="str">
        <f>VLOOKUP(B482,'Форма КП'!$B$27:$G$49,5,FALSE)</f>
        <v>Материал заказчика</v>
      </c>
      <c r="Q482" s="50"/>
      <c r="R482" s="49" t="str">
        <f t="shared" si="281"/>
        <v>Материал заказчика</v>
      </c>
      <c r="S482" s="50"/>
    </row>
    <row r="483" spans="1:19" ht="264" x14ac:dyDescent="0.25">
      <c r="A483" s="127" t="s">
        <v>646</v>
      </c>
      <c r="B483" s="128" t="s">
        <v>474</v>
      </c>
      <c r="C483" s="129" t="s">
        <v>782</v>
      </c>
      <c r="D483" s="130"/>
      <c r="E483" s="127" t="s">
        <v>224</v>
      </c>
      <c r="F483" s="131">
        <f t="shared" si="274"/>
        <v>111.86</v>
      </c>
      <c r="G483" s="115">
        <f>6.66*2.75+1.02*2.81</f>
        <v>21.18</v>
      </c>
      <c r="H483" s="115">
        <f>3.48*2.75</f>
        <v>9.57</v>
      </c>
      <c r="I483" s="115">
        <f>3.48*2.75</f>
        <v>9.57</v>
      </c>
      <c r="J483" s="115">
        <f>8.69*2.75</f>
        <v>23.9</v>
      </c>
      <c r="K483" s="115">
        <f>3.48*2.75</f>
        <v>9.57</v>
      </c>
      <c r="L483" s="115">
        <f>6.39*2.75+1.05*2.81</f>
        <v>20.52</v>
      </c>
      <c r="M483" s="115">
        <f>3.95*2.75+2.38*2.81</f>
        <v>17.55</v>
      </c>
      <c r="N483" s="104">
        <f>VLOOKUP(B483,'Форма КП'!$B$17:$G$25,5,FALSE)</f>
        <v>0</v>
      </c>
      <c r="O483" s="104">
        <f>N483*F483</f>
        <v>0</v>
      </c>
      <c r="P483" s="104"/>
      <c r="Q483" s="104"/>
      <c r="R483" s="104">
        <f>N483</f>
        <v>0</v>
      </c>
      <c r="S483" s="104">
        <f>N483*F483</f>
        <v>0</v>
      </c>
    </row>
    <row r="484" spans="1:19" x14ac:dyDescent="0.25">
      <c r="A484" s="132" t="s">
        <v>647</v>
      </c>
      <c r="B484" s="128" t="s">
        <v>524</v>
      </c>
      <c r="C484" s="133" t="s">
        <v>525</v>
      </c>
      <c r="D484" s="90">
        <v>2.25</v>
      </c>
      <c r="E484" s="132" t="s">
        <v>224</v>
      </c>
      <c r="F484" s="134">
        <f t="shared" si="274"/>
        <v>251.69</v>
      </c>
      <c r="G484" s="88">
        <f>G483*D484</f>
        <v>47.66</v>
      </c>
      <c r="H484" s="88">
        <f>H483*D484</f>
        <v>21.53</v>
      </c>
      <c r="I484" s="88">
        <f>I483*D484</f>
        <v>21.53</v>
      </c>
      <c r="J484" s="88">
        <f>J483*D484</f>
        <v>53.78</v>
      </c>
      <c r="K484" s="106">
        <f>K483*D484</f>
        <v>21.53</v>
      </c>
      <c r="L484" s="106">
        <f>L483*D484</f>
        <v>46.17</v>
      </c>
      <c r="M484" s="106">
        <f>M483*D484</f>
        <v>39.49</v>
      </c>
      <c r="N484" s="29"/>
      <c r="O484" s="29"/>
      <c r="P484" s="86">
        <f>VLOOKUP(B484,'Форма КП'!$B$27:$G$49,5,FALSE)</f>
        <v>0</v>
      </c>
      <c r="Q484" s="86">
        <f t="shared" ref="Q484:Q486" si="282">P484*F484</f>
        <v>0</v>
      </c>
      <c r="R484" s="32">
        <f t="shared" ref="R484:R486" si="283">P484</f>
        <v>0</v>
      </c>
      <c r="S484" s="32">
        <f t="shared" ref="S484:S486" si="284">P484*F484</f>
        <v>0</v>
      </c>
    </row>
    <row r="485" spans="1:19" x14ac:dyDescent="0.25">
      <c r="A485" s="132" t="s">
        <v>648</v>
      </c>
      <c r="B485" s="128" t="s">
        <v>477</v>
      </c>
      <c r="C485" s="133" t="s">
        <v>478</v>
      </c>
      <c r="D485" s="90">
        <v>0.86</v>
      </c>
      <c r="E485" s="132" t="s">
        <v>6</v>
      </c>
      <c r="F485" s="134">
        <f t="shared" si="274"/>
        <v>96.19</v>
      </c>
      <c r="G485" s="88">
        <f>G483*D485</f>
        <v>18.21</v>
      </c>
      <c r="H485" s="88">
        <f>H483*D485</f>
        <v>8.23</v>
      </c>
      <c r="I485" s="88">
        <f>I483*D485</f>
        <v>8.23</v>
      </c>
      <c r="J485" s="88">
        <f>J483*D485</f>
        <v>20.55</v>
      </c>
      <c r="K485" s="106">
        <f>K483*D485</f>
        <v>8.23</v>
      </c>
      <c r="L485" s="106">
        <f>L483*D485</f>
        <v>17.649999999999999</v>
      </c>
      <c r="M485" s="106">
        <f>M483*D485</f>
        <v>15.09</v>
      </c>
      <c r="N485" s="29"/>
      <c r="O485" s="29"/>
      <c r="P485" s="86">
        <f>VLOOKUP(B485,'Форма КП'!$B$27:$G$49,5,FALSE)</f>
        <v>0</v>
      </c>
      <c r="Q485" s="86">
        <f t="shared" si="282"/>
        <v>0</v>
      </c>
      <c r="R485" s="32">
        <f t="shared" si="283"/>
        <v>0</v>
      </c>
      <c r="S485" s="32">
        <f t="shared" si="284"/>
        <v>0</v>
      </c>
    </row>
    <row r="486" spans="1:19" x14ac:dyDescent="0.25">
      <c r="A486" s="132" t="s">
        <v>649</v>
      </c>
      <c r="B486" s="128" t="s">
        <v>479</v>
      </c>
      <c r="C486" s="133" t="s">
        <v>480</v>
      </c>
      <c r="D486" s="90">
        <v>2.34</v>
      </c>
      <c r="E486" s="132" t="s">
        <v>6</v>
      </c>
      <c r="F486" s="134">
        <f t="shared" si="274"/>
        <v>261.75</v>
      </c>
      <c r="G486" s="88">
        <f>G483*D486</f>
        <v>49.56</v>
      </c>
      <c r="H486" s="88">
        <f>H483*D486</f>
        <v>22.39</v>
      </c>
      <c r="I486" s="88">
        <f>I483*D486</f>
        <v>22.39</v>
      </c>
      <c r="J486" s="88">
        <f>J483*D486</f>
        <v>55.93</v>
      </c>
      <c r="K486" s="106">
        <f>K483*D486</f>
        <v>22.39</v>
      </c>
      <c r="L486" s="106">
        <f>L483*D486</f>
        <v>48.02</v>
      </c>
      <c r="M486" s="106">
        <f>M483*D486</f>
        <v>41.07</v>
      </c>
      <c r="N486" s="29"/>
      <c r="O486" s="29"/>
      <c r="P486" s="86">
        <f>VLOOKUP(B486,'Форма КП'!$B$27:$G$49,5,FALSE)</f>
        <v>0</v>
      </c>
      <c r="Q486" s="86">
        <f t="shared" si="282"/>
        <v>0</v>
      </c>
      <c r="R486" s="32">
        <f t="shared" si="283"/>
        <v>0</v>
      </c>
      <c r="S486" s="32">
        <f t="shared" si="284"/>
        <v>0</v>
      </c>
    </row>
    <row r="487" spans="1:19" x14ac:dyDescent="0.25">
      <c r="A487" s="119" t="s">
        <v>393</v>
      </c>
      <c r="B487" s="120"/>
      <c r="C487" s="121"/>
      <c r="D487" s="122"/>
      <c r="E487" s="123"/>
      <c r="F487" s="124"/>
      <c r="G487" s="125"/>
      <c r="H487" s="125"/>
      <c r="I487" s="125"/>
      <c r="J487" s="125"/>
      <c r="K487" s="125"/>
      <c r="L487" s="125"/>
      <c r="M487" s="125"/>
      <c r="N487" s="33"/>
      <c r="O487" s="33"/>
      <c r="P487" s="33"/>
      <c r="Q487" s="33"/>
      <c r="R487" s="33"/>
      <c r="S487" s="31"/>
    </row>
    <row r="488" spans="1:19" x14ac:dyDescent="0.25">
      <c r="A488" s="126" t="s">
        <v>223</v>
      </c>
      <c r="B488" s="120"/>
      <c r="C488" s="121"/>
      <c r="D488" s="122"/>
      <c r="E488" s="123"/>
      <c r="F488" s="124"/>
      <c r="G488" s="125"/>
      <c r="H488" s="125"/>
      <c r="I488" s="125"/>
      <c r="J488" s="125"/>
      <c r="K488" s="125"/>
      <c r="L488" s="125"/>
      <c r="M488" s="125"/>
      <c r="N488" s="33"/>
      <c r="O488" s="33"/>
      <c r="P488" s="33"/>
      <c r="Q488" s="33"/>
      <c r="R488" s="33"/>
      <c r="S488" s="31"/>
    </row>
    <row r="489" spans="1:19" ht="264" x14ac:dyDescent="0.25">
      <c r="A489" s="127" t="s">
        <v>650</v>
      </c>
      <c r="B489" s="128" t="s">
        <v>474</v>
      </c>
      <c r="C489" s="129" t="s">
        <v>782</v>
      </c>
      <c r="D489" s="130"/>
      <c r="E489" s="127" t="s">
        <v>224</v>
      </c>
      <c r="F489" s="131">
        <f t="shared" ref="F489:F514" si="285">SUM(G489:M489)</f>
        <v>187.58</v>
      </c>
      <c r="G489" s="113">
        <f>6.46*2.81-2.4*2.3+4.94*2.81</f>
        <v>26.51</v>
      </c>
      <c r="H489" s="113">
        <f>6.46*2.81-2.4*2.3+5.1*2.81</f>
        <v>26.96</v>
      </c>
      <c r="I489" s="113">
        <f>6.46*2.81-2.4*2.3+5.1*2.81</f>
        <v>26.96</v>
      </c>
      <c r="J489" s="113">
        <f>6.46*2.81-2.4*2.3+5.02*2.81</f>
        <v>26.74</v>
      </c>
      <c r="K489" s="113">
        <f>6.46*2.81-2.4*2.3+5.1*2.81</f>
        <v>26.96</v>
      </c>
      <c r="L489" s="113">
        <f>6.46*2.81-2.4*2.3+4.93*2.81</f>
        <v>26.49</v>
      </c>
      <c r="M489" s="113">
        <f>6.46*2.81-2.4*2.3+5.1*2.81</f>
        <v>26.96</v>
      </c>
      <c r="N489" s="104">
        <f>VLOOKUP(B489,'Форма КП'!$B$17:$G$25,5,FALSE)</f>
        <v>0</v>
      </c>
      <c r="O489" s="104">
        <f>N489*F489</f>
        <v>0</v>
      </c>
      <c r="P489" s="104"/>
      <c r="Q489" s="104"/>
      <c r="R489" s="104">
        <f>N489</f>
        <v>0</v>
      </c>
      <c r="S489" s="104">
        <f>N489*F489</f>
        <v>0</v>
      </c>
    </row>
    <row r="490" spans="1:19" x14ac:dyDescent="0.25">
      <c r="A490" s="132" t="s">
        <v>651</v>
      </c>
      <c r="B490" s="128" t="s">
        <v>475</v>
      </c>
      <c r="C490" s="133" t="s">
        <v>476</v>
      </c>
      <c r="D490" s="90">
        <v>2.25</v>
      </c>
      <c r="E490" s="132" t="s">
        <v>224</v>
      </c>
      <c r="F490" s="134">
        <f t="shared" si="285"/>
        <v>422.06</v>
      </c>
      <c r="G490" s="88">
        <f>G489*D490</f>
        <v>59.65</v>
      </c>
      <c r="H490" s="88">
        <f>H489*D490</f>
        <v>60.66</v>
      </c>
      <c r="I490" s="88">
        <f>I489*D490</f>
        <v>60.66</v>
      </c>
      <c r="J490" s="88">
        <f>J489*D490</f>
        <v>60.17</v>
      </c>
      <c r="K490" s="88">
        <f>K489*D490</f>
        <v>60.66</v>
      </c>
      <c r="L490" s="88">
        <f>L489*D490</f>
        <v>59.6</v>
      </c>
      <c r="M490" s="88">
        <f>M489*D490</f>
        <v>60.66</v>
      </c>
      <c r="N490" s="29"/>
      <c r="O490" s="29"/>
      <c r="P490" s="86">
        <f>VLOOKUP(B490,'Форма КП'!$B$27:$G$49,5,FALSE)</f>
        <v>0</v>
      </c>
      <c r="Q490" s="86">
        <f t="shared" ref="Q490:Q492" si="286">P490*F490</f>
        <v>0</v>
      </c>
      <c r="R490" s="32">
        <f t="shared" ref="R490:R492" si="287">P490</f>
        <v>0</v>
      </c>
      <c r="S490" s="32">
        <f t="shared" ref="S490:S492" si="288">P490*F490</f>
        <v>0</v>
      </c>
    </row>
    <row r="491" spans="1:19" x14ac:dyDescent="0.25">
      <c r="A491" s="132" t="s">
        <v>652</v>
      </c>
      <c r="B491" s="128" t="s">
        <v>477</v>
      </c>
      <c r="C491" s="133" t="s">
        <v>478</v>
      </c>
      <c r="D491" s="90">
        <v>0.86</v>
      </c>
      <c r="E491" s="132" t="s">
        <v>6</v>
      </c>
      <c r="F491" s="134">
        <f t="shared" si="285"/>
        <v>161.34</v>
      </c>
      <c r="G491" s="88">
        <f>G489*D491</f>
        <v>22.8</v>
      </c>
      <c r="H491" s="88">
        <f>H489*D491</f>
        <v>23.19</v>
      </c>
      <c r="I491" s="88">
        <f>I489*D491</f>
        <v>23.19</v>
      </c>
      <c r="J491" s="88">
        <f>J489*D491</f>
        <v>23</v>
      </c>
      <c r="K491" s="88">
        <f>K489*D491</f>
        <v>23.19</v>
      </c>
      <c r="L491" s="88">
        <f>L489*D491</f>
        <v>22.78</v>
      </c>
      <c r="M491" s="88">
        <f>M489*D491</f>
        <v>23.19</v>
      </c>
      <c r="N491" s="29"/>
      <c r="O491" s="29"/>
      <c r="P491" s="86">
        <f>VLOOKUP(B491,'Форма КП'!$B$27:$G$49,5,FALSE)</f>
        <v>0</v>
      </c>
      <c r="Q491" s="86">
        <f t="shared" si="286"/>
        <v>0</v>
      </c>
      <c r="R491" s="32">
        <f t="shared" si="287"/>
        <v>0</v>
      </c>
      <c r="S491" s="32">
        <f t="shared" si="288"/>
        <v>0</v>
      </c>
    </row>
    <row r="492" spans="1:19" x14ac:dyDescent="0.25">
      <c r="A492" s="132" t="s">
        <v>653</v>
      </c>
      <c r="B492" s="128" t="s">
        <v>479</v>
      </c>
      <c r="C492" s="133" t="s">
        <v>480</v>
      </c>
      <c r="D492" s="90">
        <v>2.34</v>
      </c>
      <c r="E492" s="132" t="s">
        <v>6</v>
      </c>
      <c r="F492" s="134">
        <f t="shared" si="285"/>
        <v>438.95</v>
      </c>
      <c r="G492" s="88">
        <f>G489*D492</f>
        <v>62.03</v>
      </c>
      <c r="H492" s="88">
        <f>H489*D492</f>
        <v>63.09</v>
      </c>
      <c r="I492" s="88">
        <f>I489*D492</f>
        <v>63.09</v>
      </c>
      <c r="J492" s="88">
        <f>J489*D492</f>
        <v>62.57</v>
      </c>
      <c r="K492" s="88">
        <f>K489*D492</f>
        <v>63.09</v>
      </c>
      <c r="L492" s="88">
        <f>L489*D492</f>
        <v>61.99</v>
      </c>
      <c r="M492" s="88">
        <f>M489*D492</f>
        <v>63.09</v>
      </c>
      <c r="N492" s="29"/>
      <c r="O492" s="29"/>
      <c r="P492" s="86">
        <f>VLOOKUP(B492,'Форма КП'!$B$27:$G$49,5,FALSE)</f>
        <v>0</v>
      </c>
      <c r="Q492" s="86">
        <f t="shared" si="286"/>
        <v>0</v>
      </c>
      <c r="R492" s="32">
        <f t="shared" si="287"/>
        <v>0</v>
      </c>
      <c r="S492" s="32">
        <f t="shared" si="288"/>
        <v>0</v>
      </c>
    </row>
    <row r="493" spans="1:19" ht="216" x14ac:dyDescent="0.25">
      <c r="A493" s="127" t="s">
        <v>654</v>
      </c>
      <c r="B493" s="128" t="s">
        <v>510</v>
      </c>
      <c r="C493" s="129" t="s">
        <v>776</v>
      </c>
      <c r="D493" s="130"/>
      <c r="E493" s="127" t="s">
        <v>224</v>
      </c>
      <c r="F493" s="131">
        <f t="shared" si="285"/>
        <v>767.22</v>
      </c>
      <c r="G493" s="113">
        <f>(64.23-2)*2.7-12.99*2.1-1.37*1.7</f>
        <v>138.41</v>
      </c>
      <c r="H493" s="113">
        <f>(45.78-2)*2.7-8.2*2.1-3.05*1.7</f>
        <v>95.8</v>
      </c>
      <c r="I493" s="113">
        <f>(45.78-2)*2.7-8.2*2.1-3.05*1.7</f>
        <v>95.8</v>
      </c>
      <c r="J493" s="113">
        <f>(58-2)*2.7-11.99*2.1-1.37*1.7</f>
        <v>123.69</v>
      </c>
      <c r="K493" s="113">
        <f>(45.79-2)*2.7-8.2*2.1-3.05*1.7</f>
        <v>95.83</v>
      </c>
      <c r="L493" s="113">
        <f>(55.94-2)*2.7-10.2*2.1-1.37*1.7</f>
        <v>121.89</v>
      </c>
      <c r="M493" s="113">
        <f>(45.78-2)*2.7-3.05*1.7-8.2*2.1</f>
        <v>95.8</v>
      </c>
      <c r="N493" s="104">
        <f>VLOOKUP(B493,'Форма КП'!$B$17:$G$25,5,FALSE)</f>
        <v>0</v>
      </c>
      <c r="O493" s="104">
        <f>N493*F493</f>
        <v>0</v>
      </c>
      <c r="P493" s="104"/>
      <c r="Q493" s="104"/>
      <c r="R493" s="104">
        <f>N493</f>
        <v>0</v>
      </c>
      <c r="S493" s="104">
        <f>N493*F493</f>
        <v>0</v>
      </c>
    </row>
    <row r="494" spans="1:19" x14ac:dyDescent="0.25">
      <c r="A494" s="132" t="s">
        <v>655</v>
      </c>
      <c r="B494" s="128" t="s">
        <v>486</v>
      </c>
      <c r="C494" s="133" t="s">
        <v>487</v>
      </c>
      <c r="D494" s="90">
        <v>1.45</v>
      </c>
      <c r="E494" s="132" t="s">
        <v>6</v>
      </c>
      <c r="F494" s="134">
        <f t="shared" si="285"/>
        <v>1112.46</v>
      </c>
      <c r="G494" s="88">
        <f>G493*D494</f>
        <v>200.69</v>
      </c>
      <c r="H494" s="88">
        <f>H493*D494</f>
        <v>138.91</v>
      </c>
      <c r="I494" s="88">
        <f>I493*D494</f>
        <v>138.91</v>
      </c>
      <c r="J494" s="88">
        <f>J493*D494</f>
        <v>179.35</v>
      </c>
      <c r="K494" s="88">
        <f>K493*D494</f>
        <v>138.94999999999999</v>
      </c>
      <c r="L494" s="88">
        <f>L493*D494</f>
        <v>176.74</v>
      </c>
      <c r="M494" s="88">
        <f>M493*D494</f>
        <v>138.91</v>
      </c>
      <c r="N494" s="29"/>
      <c r="O494" s="29"/>
      <c r="P494" s="86">
        <f>VLOOKUP(B494,'Форма КП'!$B$27:$G$49,5,FALSE)</f>
        <v>0</v>
      </c>
      <c r="Q494" s="86">
        <f t="shared" ref="Q494" si="289">P494*F494</f>
        <v>0</v>
      </c>
      <c r="R494" s="32">
        <f t="shared" ref="R494:R496" si="290">P494</f>
        <v>0</v>
      </c>
      <c r="S494" s="32">
        <f t="shared" ref="S494" si="291">P494*F494</f>
        <v>0</v>
      </c>
    </row>
    <row r="495" spans="1:19" x14ac:dyDescent="0.25">
      <c r="A495" s="132" t="s">
        <v>656</v>
      </c>
      <c r="B495" s="128" t="s">
        <v>488</v>
      </c>
      <c r="C495" s="133" t="s">
        <v>489</v>
      </c>
      <c r="D495" s="90">
        <v>0.2</v>
      </c>
      <c r="E495" s="132" t="s">
        <v>228</v>
      </c>
      <c r="F495" s="134">
        <f t="shared" si="285"/>
        <v>155.61000000000001</v>
      </c>
      <c r="G495" s="88">
        <f>((64.23-2)*2.7-12.99*2.1-1.37*1.7)*D495</f>
        <v>27.68</v>
      </c>
      <c r="H495" s="88">
        <f>(45.78*2.7-8.2*2.1-3.05*1.7)*D495</f>
        <v>20.239999999999998</v>
      </c>
      <c r="I495" s="88">
        <f>(45.78*2.7-8.2*2.1-3.05*1.7)*D495</f>
        <v>20.239999999999998</v>
      </c>
      <c r="J495" s="88">
        <f>((58-2)*2.7-11.99*2.1-1.37*1.7)*D495</f>
        <v>24.74</v>
      </c>
      <c r="K495" s="88">
        <f>((45.79-2)*2.7-8.2*2.1-3.05*1.7)*D495</f>
        <v>19.170000000000002</v>
      </c>
      <c r="L495" s="88">
        <f>((55.94-2)*2.7-10.2*2.1-1.37*1.7)*D495</f>
        <v>24.38</v>
      </c>
      <c r="M495" s="88">
        <f>((45.78-2)*2.7-3.05*1.7-8.2*2.1)*D495</f>
        <v>19.16</v>
      </c>
      <c r="N495" s="29"/>
      <c r="O495" s="29"/>
      <c r="P495" s="49" t="str">
        <f>VLOOKUP(B495,'Форма КП'!$B$27:$G$49,5,FALSE)</f>
        <v>Материал заказчика</v>
      </c>
      <c r="Q495" s="50"/>
      <c r="R495" s="49" t="str">
        <f t="shared" si="290"/>
        <v>Материал заказчика</v>
      </c>
      <c r="S495" s="50"/>
    </row>
    <row r="496" spans="1:19" x14ac:dyDescent="0.25">
      <c r="A496" s="132" t="s">
        <v>657</v>
      </c>
      <c r="B496" s="128" t="s">
        <v>511</v>
      </c>
      <c r="C496" s="133" t="s">
        <v>512</v>
      </c>
      <c r="D496" s="90">
        <v>16</v>
      </c>
      <c r="E496" s="132" t="s">
        <v>228</v>
      </c>
      <c r="F496" s="134">
        <f t="shared" si="285"/>
        <v>12275.52</v>
      </c>
      <c r="G496" s="88">
        <f>G493*D496</f>
        <v>2214.56</v>
      </c>
      <c r="H496" s="88">
        <f>H493*D496</f>
        <v>1532.8</v>
      </c>
      <c r="I496" s="88">
        <f>I493*D496</f>
        <v>1532.8</v>
      </c>
      <c r="J496" s="88">
        <f>J493*D496</f>
        <v>1979.04</v>
      </c>
      <c r="K496" s="88">
        <f>K493*D496</f>
        <v>1533.28</v>
      </c>
      <c r="L496" s="88">
        <f>L493*D496</f>
        <v>1950.24</v>
      </c>
      <c r="M496" s="88">
        <f>M493*D496</f>
        <v>1532.8</v>
      </c>
      <c r="N496" s="29"/>
      <c r="O496" s="29"/>
      <c r="P496" s="49" t="str">
        <f>VLOOKUP(B496,'Форма КП'!$B$27:$G$49,5,FALSE)</f>
        <v>Материал заказчика</v>
      </c>
      <c r="Q496" s="50"/>
      <c r="R496" s="49" t="str">
        <f t="shared" si="290"/>
        <v>Материал заказчика</v>
      </c>
      <c r="S496" s="50"/>
    </row>
    <row r="497" spans="1:19" ht="216" x14ac:dyDescent="0.25">
      <c r="A497" s="127" t="s">
        <v>658</v>
      </c>
      <c r="B497" s="128" t="s">
        <v>510</v>
      </c>
      <c r="C497" s="129" t="s">
        <v>776</v>
      </c>
      <c r="D497" s="130"/>
      <c r="E497" s="127" t="s">
        <v>224</v>
      </c>
      <c r="F497" s="131">
        <f t="shared" si="285"/>
        <v>183.61</v>
      </c>
      <c r="G497" s="113">
        <f>12.7*2.7-2*2.1</f>
        <v>30.09</v>
      </c>
      <c r="H497" s="113">
        <f>10.8*2.7-2*2.1</f>
        <v>24.96</v>
      </c>
      <c r="I497" s="113">
        <f>10.8*2.7-2*2.1</f>
        <v>24.96</v>
      </c>
      <c r="J497" s="113">
        <f>13.21*2.7-2*2.1</f>
        <v>31.47</v>
      </c>
      <c r="K497" s="113">
        <f>10.8*2.7-2*2.1</f>
        <v>24.96</v>
      </c>
      <c r="L497" s="113">
        <f>9.78*2.7-2*2.1</f>
        <v>22.21</v>
      </c>
      <c r="M497" s="113">
        <f>10.8*2.7-2*2.1</f>
        <v>24.96</v>
      </c>
      <c r="N497" s="104">
        <f>VLOOKUP(B497,'Форма КП'!$B$17:$G$25,5,FALSE)</f>
        <v>0</v>
      </c>
      <c r="O497" s="104">
        <f>N497*F497</f>
        <v>0</v>
      </c>
      <c r="P497" s="104"/>
      <c r="Q497" s="104"/>
      <c r="R497" s="104">
        <f>N497</f>
        <v>0</v>
      </c>
      <c r="S497" s="104">
        <f>N497*F497</f>
        <v>0</v>
      </c>
    </row>
    <row r="498" spans="1:19" x14ac:dyDescent="0.25">
      <c r="A498" s="132" t="s">
        <v>659</v>
      </c>
      <c r="B498" s="128" t="s">
        <v>486</v>
      </c>
      <c r="C498" s="133" t="s">
        <v>487</v>
      </c>
      <c r="D498" s="90">
        <v>1.45</v>
      </c>
      <c r="E498" s="132" t="s">
        <v>6</v>
      </c>
      <c r="F498" s="134">
        <f t="shared" si="285"/>
        <v>266.22000000000003</v>
      </c>
      <c r="G498" s="88">
        <f>G497*D498</f>
        <v>43.63</v>
      </c>
      <c r="H498" s="88">
        <f>H497*D498</f>
        <v>36.19</v>
      </c>
      <c r="I498" s="88">
        <f>I497*D498</f>
        <v>36.19</v>
      </c>
      <c r="J498" s="88">
        <f>J497*D498</f>
        <v>45.63</v>
      </c>
      <c r="K498" s="88">
        <f>K497*D498</f>
        <v>36.19</v>
      </c>
      <c r="L498" s="88">
        <f>L497*D498</f>
        <v>32.200000000000003</v>
      </c>
      <c r="M498" s="88">
        <f>M497*D498</f>
        <v>36.19</v>
      </c>
      <c r="N498" s="29"/>
      <c r="O498" s="29"/>
      <c r="P498" s="86">
        <f>VLOOKUP(B498,'Форма КП'!$B$27:$G$49,5,FALSE)</f>
        <v>0</v>
      </c>
      <c r="Q498" s="86">
        <f t="shared" ref="Q498" si="292">P498*F498</f>
        <v>0</v>
      </c>
      <c r="R498" s="32">
        <f t="shared" ref="R498:R500" si="293">P498</f>
        <v>0</v>
      </c>
      <c r="S498" s="32">
        <f t="shared" ref="S498" si="294">P498*F498</f>
        <v>0</v>
      </c>
    </row>
    <row r="499" spans="1:19" x14ac:dyDescent="0.25">
      <c r="A499" s="132" t="s">
        <v>660</v>
      </c>
      <c r="B499" s="128" t="s">
        <v>484</v>
      </c>
      <c r="C499" s="133" t="s">
        <v>225</v>
      </c>
      <c r="D499" s="90">
        <v>0.4</v>
      </c>
      <c r="E499" s="132" t="s">
        <v>226</v>
      </c>
      <c r="F499" s="134">
        <f t="shared" si="285"/>
        <v>73.430000000000007</v>
      </c>
      <c r="G499" s="88">
        <f>(12.7*2.7-2*2.1)*D499</f>
        <v>12.04</v>
      </c>
      <c r="H499" s="88">
        <f>(10.8*2.7-2*2.1)*D499</f>
        <v>9.98</v>
      </c>
      <c r="I499" s="88">
        <f>(10.8*2.7-2*2.1)*D499</f>
        <v>9.98</v>
      </c>
      <c r="J499" s="88">
        <f>(13.21*2.7-2*2.1)*D499</f>
        <v>12.59</v>
      </c>
      <c r="K499" s="88">
        <f>(10.8*2.7-2*2.1)*D499</f>
        <v>9.98</v>
      </c>
      <c r="L499" s="88">
        <f>(9.78*2.7-2*2.1)*D499</f>
        <v>8.8800000000000008</v>
      </c>
      <c r="M499" s="88">
        <f>(10.8*2.7-2*2.1)*D499</f>
        <v>9.98</v>
      </c>
      <c r="N499" s="29"/>
      <c r="O499" s="29"/>
      <c r="P499" s="49" t="str">
        <f>VLOOKUP(B499,'Форма КП'!$B$27:$G$49,5,FALSE)</f>
        <v>Материал заказчика</v>
      </c>
      <c r="Q499" s="50"/>
      <c r="R499" s="49" t="str">
        <f t="shared" si="293"/>
        <v>Материал заказчика</v>
      </c>
      <c r="S499" s="50"/>
    </row>
    <row r="500" spans="1:19" x14ac:dyDescent="0.25">
      <c r="A500" s="132" t="s">
        <v>661</v>
      </c>
      <c r="B500" s="128" t="s">
        <v>511</v>
      </c>
      <c r="C500" s="133" t="s">
        <v>512</v>
      </c>
      <c r="D500" s="90">
        <v>16</v>
      </c>
      <c r="E500" s="132" t="s">
        <v>228</v>
      </c>
      <c r="F500" s="134">
        <f t="shared" si="285"/>
        <v>2937.76</v>
      </c>
      <c r="G500" s="88">
        <f>G497*D500</f>
        <v>481.44</v>
      </c>
      <c r="H500" s="88">
        <f>H497*D500</f>
        <v>399.36</v>
      </c>
      <c r="I500" s="88">
        <f>I497*D500</f>
        <v>399.36</v>
      </c>
      <c r="J500" s="88">
        <f>J497*D500</f>
        <v>503.52</v>
      </c>
      <c r="K500" s="88">
        <f>K497*D500</f>
        <v>399.36</v>
      </c>
      <c r="L500" s="88">
        <f>L497*D500</f>
        <v>355.36</v>
      </c>
      <c r="M500" s="88">
        <f>M497*D500</f>
        <v>399.36</v>
      </c>
      <c r="N500" s="29"/>
      <c r="O500" s="29"/>
      <c r="P500" s="49" t="str">
        <f>VLOOKUP(B500,'Форма КП'!$B$27:$G$49,5,FALSE)</f>
        <v>Материал заказчика</v>
      </c>
      <c r="Q500" s="50"/>
      <c r="R500" s="49" t="str">
        <f t="shared" si="293"/>
        <v>Материал заказчика</v>
      </c>
      <c r="S500" s="50"/>
    </row>
    <row r="501" spans="1:19" ht="120" x14ac:dyDescent="0.25">
      <c r="A501" s="127" t="s">
        <v>662</v>
      </c>
      <c r="B501" s="128" t="s">
        <v>513</v>
      </c>
      <c r="C501" s="129" t="s">
        <v>777</v>
      </c>
      <c r="D501" s="130"/>
      <c r="E501" s="127" t="s">
        <v>224</v>
      </c>
      <c r="F501" s="131">
        <f t="shared" si="285"/>
        <v>669.66</v>
      </c>
      <c r="G501" s="115">
        <f>(59.41-2)*2.7-13.69*2.1</f>
        <v>126.26</v>
      </c>
      <c r="H501" s="115">
        <f>(39.06-2)*2.7-8.9*2.1-1.37*1.7</f>
        <v>79.040000000000006</v>
      </c>
      <c r="I501" s="115">
        <f>(39.06-2)*2.7-8.9*2.1-1.37*1.7</f>
        <v>79.040000000000006</v>
      </c>
      <c r="J501" s="115">
        <f>52.31*2.7-12.69*2.1</f>
        <v>114.59</v>
      </c>
      <c r="K501" s="115">
        <f>39.06*2.7-8.9*2.1-1.37*1.7</f>
        <v>84.44</v>
      </c>
      <c r="L501" s="115">
        <f>48.2*2.7-10.9*2.1</f>
        <v>107.25</v>
      </c>
      <c r="M501" s="115">
        <f>(39.06-2)*2.7-8.9*2.1-1.37*1.7</f>
        <v>79.040000000000006</v>
      </c>
      <c r="N501" s="104">
        <f>VLOOKUP(B501,'Форма КП'!$B$17:$G$25,5,FALSE)</f>
        <v>0</v>
      </c>
      <c r="O501" s="104">
        <f>N501*F501</f>
        <v>0</v>
      </c>
      <c r="P501" s="104"/>
      <c r="Q501" s="104"/>
      <c r="R501" s="104">
        <f>N501</f>
        <v>0</v>
      </c>
      <c r="S501" s="104">
        <f>N501*F501</f>
        <v>0</v>
      </c>
    </row>
    <row r="502" spans="1:19" x14ac:dyDescent="0.25">
      <c r="A502" s="132" t="s">
        <v>663</v>
      </c>
      <c r="B502" s="128" t="s">
        <v>484</v>
      </c>
      <c r="C502" s="133" t="s">
        <v>225</v>
      </c>
      <c r="D502" s="90">
        <v>0.15</v>
      </c>
      <c r="E502" s="132" t="s">
        <v>226</v>
      </c>
      <c r="F502" s="134">
        <f t="shared" si="285"/>
        <v>100.47</v>
      </c>
      <c r="G502" s="88">
        <f>G501*D502</f>
        <v>18.940000000000001</v>
      </c>
      <c r="H502" s="88">
        <f>H501*D502</f>
        <v>11.86</v>
      </c>
      <c r="I502" s="88">
        <f>I501*D502</f>
        <v>11.86</v>
      </c>
      <c r="J502" s="88">
        <f>J501*D502</f>
        <v>17.190000000000001</v>
      </c>
      <c r="K502" s="88">
        <f>K501*D502</f>
        <v>12.67</v>
      </c>
      <c r="L502" s="88">
        <f>L501*D502</f>
        <v>16.09</v>
      </c>
      <c r="M502" s="88">
        <f>M501*D502</f>
        <v>11.86</v>
      </c>
      <c r="N502" s="29"/>
      <c r="O502" s="29"/>
      <c r="P502" s="49" t="str">
        <f>VLOOKUP(B502,'Форма КП'!$B$27:$G$49,5,FALSE)</f>
        <v>Материал заказчика</v>
      </c>
      <c r="Q502" s="50"/>
      <c r="R502" s="49" t="str">
        <f t="shared" ref="R502:R503" si="295">P502</f>
        <v>Материал заказчика</v>
      </c>
      <c r="S502" s="50"/>
    </row>
    <row r="503" spans="1:19" x14ac:dyDescent="0.25">
      <c r="A503" s="132" t="s">
        <v>664</v>
      </c>
      <c r="B503" s="128" t="s">
        <v>514</v>
      </c>
      <c r="C503" s="133" t="s">
        <v>515</v>
      </c>
      <c r="D503" s="90">
        <v>5</v>
      </c>
      <c r="E503" s="132" t="s">
        <v>228</v>
      </c>
      <c r="F503" s="134">
        <f t="shared" si="285"/>
        <v>3348.3</v>
      </c>
      <c r="G503" s="88">
        <f>G501*D503</f>
        <v>631.29999999999995</v>
      </c>
      <c r="H503" s="88">
        <f>H501*D503</f>
        <v>395.2</v>
      </c>
      <c r="I503" s="88">
        <f>I501*D503</f>
        <v>395.2</v>
      </c>
      <c r="J503" s="88">
        <f>J501*D503</f>
        <v>572.95000000000005</v>
      </c>
      <c r="K503" s="88">
        <f>K501*D503</f>
        <v>422.2</v>
      </c>
      <c r="L503" s="88">
        <f>L501*D503</f>
        <v>536.25</v>
      </c>
      <c r="M503" s="88">
        <f>M501*D503</f>
        <v>395.2</v>
      </c>
      <c r="N503" s="29"/>
      <c r="O503" s="29"/>
      <c r="P503" s="49" t="str">
        <f>VLOOKUP(B503,'Форма КП'!$B$27:$G$49,5,FALSE)</f>
        <v>Материал заказчика</v>
      </c>
      <c r="Q503" s="50"/>
      <c r="R503" s="49" t="str">
        <f t="shared" si="295"/>
        <v>Материал заказчика</v>
      </c>
      <c r="S503" s="50"/>
    </row>
    <row r="504" spans="1:19" ht="156" x14ac:dyDescent="0.25">
      <c r="A504" s="127" t="s">
        <v>665</v>
      </c>
      <c r="B504" s="128" t="s">
        <v>493</v>
      </c>
      <c r="C504" s="129" t="s">
        <v>780</v>
      </c>
      <c r="D504" s="130"/>
      <c r="E504" s="127" t="s">
        <v>224</v>
      </c>
      <c r="F504" s="131">
        <f t="shared" si="285"/>
        <v>14.4</v>
      </c>
      <c r="G504" s="112">
        <f>0.2*2*6</f>
        <v>2.4</v>
      </c>
      <c r="H504" s="112">
        <f t="shared" ref="H504:M504" si="296">0.2*2*5</f>
        <v>2</v>
      </c>
      <c r="I504" s="112">
        <f t="shared" si="296"/>
        <v>2</v>
      </c>
      <c r="J504" s="112">
        <f t="shared" si="296"/>
        <v>2</v>
      </c>
      <c r="K504" s="112">
        <f t="shared" si="296"/>
        <v>2</v>
      </c>
      <c r="L504" s="112">
        <f t="shared" si="296"/>
        <v>2</v>
      </c>
      <c r="M504" s="112">
        <f t="shared" si="296"/>
        <v>2</v>
      </c>
      <c r="N504" s="104">
        <f>VLOOKUP(B504,'Форма КП'!$B$17:$G$25,5,FALSE)</f>
        <v>0</v>
      </c>
      <c r="O504" s="104">
        <f>N504*F504</f>
        <v>0</v>
      </c>
      <c r="P504" s="104"/>
      <c r="Q504" s="104"/>
      <c r="R504" s="104">
        <f>N504</f>
        <v>0</v>
      </c>
      <c r="S504" s="104">
        <f>N504*F504</f>
        <v>0</v>
      </c>
    </row>
    <row r="505" spans="1:19" x14ac:dyDescent="0.25">
      <c r="A505" s="132" t="s">
        <v>666</v>
      </c>
      <c r="B505" s="128" t="s">
        <v>484</v>
      </c>
      <c r="C505" s="133" t="s">
        <v>225</v>
      </c>
      <c r="D505" s="90">
        <v>0.15</v>
      </c>
      <c r="E505" s="132" t="s">
        <v>226</v>
      </c>
      <c r="F505" s="134">
        <f t="shared" si="285"/>
        <v>2.16</v>
      </c>
      <c r="G505" s="88">
        <f>G504*D505</f>
        <v>0.36</v>
      </c>
      <c r="H505" s="88">
        <f>H504*D505</f>
        <v>0.3</v>
      </c>
      <c r="I505" s="88">
        <f>I504*D505</f>
        <v>0.3</v>
      </c>
      <c r="J505" s="88">
        <f>J504*D505</f>
        <v>0.3</v>
      </c>
      <c r="K505" s="88">
        <f>K504*D505</f>
        <v>0.3</v>
      </c>
      <c r="L505" s="88">
        <f>L504*D505</f>
        <v>0.3</v>
      </c>
      <c r="M505" s="88">
        <f>M504*D505</f>
        <v>0.3</v>
      </c>
      <c r="N505" s="29"/>
      <c r="O505" s="29"/>
      <c r="P505" s="49" t="str">
        <f>VLOOKUP(B505,'Форма КП'!$B$27:$G$49,5,FALSE)</f>
        <v>Материал заказчика</v>
      </c>
      <c r="Q505" s="50"/>
      <c r="R505" s="49" t="str">
        <f t="shared" ref="R505:R508" si="297">P505</f>
        <v>Материал заказчика</v>
      </c>
      <c r="S505" s="50"/>
    </row>
    <row r="506" spans="1:19" x14ac:dyDescent="0.25">
      <c r="A506" s="132" t="s">
        <v>667</v>
      </c>
      <c r="B506" s="128" t="s">
        <v>496</v>
      </c>
      <c r="C506" s="133" t="s">
        <v>227</v>
      </c>
      <c r="D506" s="90">
        <v>10</v>
      </c>
      <c r="E506" s="132" t="s">
        <v>228</v>
      </c>
      <c r="F506" s="134">
        <f t="shared" si="285"/>
        <v>144</v>
      </c>
      <c r="G506" s="88">
        <f>G504*D506</f>
        <v>24</v>
      </c>
      <c r="H506" s="88">
        <f>H504*D506</f>
        <v>20</v>
      </c>
      <c r="I506" s="88">
        <f>I504*D506</f>
        <v>20</v>
      </c>
      <c r="J506" s="88">
        <f>J504*D506</f>
        <v>20</v>
      </c>
      <c r="K506" s="88">
        <f>K504*D506</f>
        <v>20</v>
      </c>
      <c r="L506" s="88">
        <f>L504*D506</f>
        <v>20</v>
      </c>
      <c r="M506" s="88">
        <f>M504*D506</f>
        <v>20</v>
      </c>
      <c r="N506" s="29"/>
      <c r="O506" s="29"/>
      <c r="P506" s="49" t="str">
        <f>VLOOKUP(B506,'Форма КП'!$B$27:$G$49,5,FALSE)</f>
        <v>Материал заказчика</v>
      </c>
      <c r="Q506" s="50"/>
      <c r="R506" s="49" t="str">
        <f t="shared" si="297"/>
        <v>Материал заказчика</v>
      </c>
      <c r="S506" s="50"/>
    </row>
    <row r="507" spans="1:19" x14ac:dyDescent="0.25">
      <c r="A507" s="132" t="s">
        <v>668</v>
      </c>
      <c r="B507" s="128" t="s">
        <v>523</v>
      </c>
      <c r="C507" s="133" t="s">
        <v>229</v>
      </c>
      <c r="D507" s="90">
        <v>0.2</v>
      </c>
      <c r="E507" s="132" t="s">
        <v>228</v>
      </c>
      <c r="F507" s="134">
        <f t="shared" si="285"/>
        <v>2.88</v>
      </c>
      <c r="G507" s="88">
        <f>G504*D507</f>
        <v>0.48</v>
      </c>
      <c r="H507" s="88">
        <f>H504*D507</f>
        <v>0.4</v>
      </c>
      <c r="I507" s="88">
        <f>I504*D507</f>
        <v>0.4</v>
      </c>
      <c r="J507" s="88">
        <f>J504*D507</f>
        <v>0.4</v>
      </c>
      <c r="K507" s="88">
        <f>K504*D507</f>
        <v>0.4</v>
      </c>
      <c r="L507" s="88">
        <f>L504*D507</f>
        <v>0.4</v>
      </c>
      <c r="M507" s="88">
        <f>M504*D507</f>
        <v>0.4</v>
      </c>
      <c r="N507" s="29"/>
      <c r="O507" s="29"/>
      <c r="P507" s="49" t="str">
        <f>VLOOKUP(B507,'Форма КП'!$B$27:$G$49,5,FALSE)</f>
        <v>Материал заказчика</v>
      </c>
      <c r="Q507" s="50"/>
      <c r="R507" s="49" t="str">
        <f t="shared" si="297"/>
        <v>Материал заказчика</v>
      </c>
      <c r="S507" s="50"/>
    </row>
    <row r="508" spans="1:19" x14ac:dyDescent="0.25">
      <c r="A508" s="132" t="s">
        <v>669</v>
      </c>
      <c r="B508" s="128" t="s">
        <v>501</v>
      </c>
      <c r="C508" s="133" t="s">
        <v>502</v>
      </c>
      <c r="D508" s="90">
        <v>1.05</v>
      </c>
      <c r="E508" s="132" t="s">
        <v>224</v>
      </c>
      <c r="F508" s="134">
        <f t="shared" si="285"/>
        <v>15.12</v>
      </c>
      <c r="G508" s="88">
        <f>G504*D508</f>
        <v>2.52</v>
      </c>
      <c r="H508" s="88">
        <f>H504*D508</f>
        <v>2.1</v>
      </c>
      <c r="I508" s="88">
        <f>I504*D508</f>
        <v>2.1</v>
      </c>
      <c r="J508" s="88">
        <f>J504*D508</f>
        <v>2.1</v>
      </c>
      <c r="K508" s="88">
        <f>K504*D508</f>
        <v>2.1</v>
      </c>
      <c r="L508" s="88">
        <f>L504*D508</f>
        <v>2.1</v>
      </c>
      <c r="M508" s="88">
        <f>M504*D508</f>
        <v>2.1</v>
      </c>
      <c r="N508" s="29"/>
      <c r="O508" s="29"/>
      <c r="P508" s="49" t="str">
        <f>VLOOKUP(B508,'Форма КП'!$B$27:$G$49,5,FALSE)</f>
        <v>Материал заказчика</v>
      </c>
      <c r="Q508" s="50"/>
      <c r="R508" s="49" t="str">
        <f t="shared" si="297"/>
        <v>Материал заказчика</v>
      </c>
      <c r="S508" s="50"/>
    </row>
    <row r="509" spans="1:19" ht="108" x14ac:dyDescent="0.25">
      <c r="A509" s="127" t="s">
        <v>670</v>
      </c>
      <c r="B509" s="128" t="s">
        <v>505</v>
      </c>
      <c r="C509" s="129" t="s">
        <v>779</v>
      </c>
      <c r="D509" s="130"/>
      <c r="E509" s="127" t="s">
        <v>224</v>
      </c>
      <c r="F509" s="131">
        <f t="shared" si="285"/>
        <v>247.76</v>
      </c>
      <c r="G509" s="113">
        <v>35.69</v>
      </c>
      <c r="H509" s="113">
        <v>35.18</v>
      </c>
      <c r="I509" s="113">
        <v>35.18</v>
      </c>
      <c r="J509" s="113">
        <v>35.659999999999997</v>
      </c>
      <c r="K509" s="113">
        <v>35.18</v>
      </c>
      <c r="L509" s="113">
        <v>35.69</v>
      </c>
      <c r="M509" s="113">
        <v>35.18</v>
      </c>
      <c r="N509" s="104">
        <f>VLOOKUP(B509,'Форма КП'!$B$17:$G$25,5,FALSE)</f>
        <v>0</v>
      </c>
      <c r="O509" s="104">
        <f>N509*F509</f>
        <v>0</v>
      </c>
      <c r="P509" s="104"/>
      <c r="Q509" s="104"/>
      <c r="R509" s="104">
        <f>N509</f>
        <v>0</v>
      </c>
      <c r="S509" s="104">
        <f>N509*F509</f>
        <v>0</v>
      </c>
    </row>
    <row r="510" spans="1:19" x14ac:dyDescent="0.25">
      <c r="A510" s="132" t="s">
        <v>671</v>
      </c>
      <c r="B510" s="128" t="s">
        <v>484</v>
      </c>
      <c r="C510" s="133" t="s">
        <v>225</v>
      </c>
      <c r="D510" s="90">
        <v>0.15</v>
      </c>
      <c r="E510" s="132" t="s">
        <v>226</v>
      </c>
      <c r="F510" s="134">
        <f t="shared" si="285"/>
        <v>37.17</v>
      </c>
      <c r="G510" s="88">
        <f>G509*D510</f>
        <v>5.35</v>
      </c>
      <c r="H510" s="88">
        <f>H509*D510</f>
        <v>5.28</v>
      </c>
      <c r="I510" s="88">
        <f>I509*D510</f>
        <v>5.28</v>
      </c>
      <c r="J510" s="88">
        <f>J509*D510</f>
        <v>5.35</v>
      </c>
      <c r="K510" s="88">
        <f>K509*D510</f>
        <v>5.28</v>
      </c>
      <c r="L510" s="88">
        <f>L509*D510</f>
        <v>5.35</v>
      </c>
      <c r="M510" s="88">
        <f>M509*D510</f>
        <v>5.28</v>
      </c>
      <c r="N510" s="29"/>
      <c r="O510" s="29"/>
      <c r="P510" s="49" t="str">
        <f>VLOOKUP(B510,'Форма КП'!$B$27:$G$49,5,FALSE)</f>
        <v>Материал заказчика</v>
      </c>
      <c r="Q510" s="50"/>
      <c r="R510" s="49" t="str">
        <f t="shared" ref="R510:R511" si="298">P510</f>
        <v>Материал заказчика</v>
      </c>
      <c r="S510" s="50"/>
    </row>
    <row r="511" spans="1:19" ht="24" x14ac:dyDescent="0.25">
      <c r="A511" s="132" t="s">
        <v>672</v>
      </c>
      <c r="B511" s="128" t="s">
        <v>506</v>
      </c>
      <c r="C511" s="133" t="s">
        <v>507</v>
      </c>
      <c r="D511" s="90">
        <v>0.25</v>
      </c>
      <c r="E511" s="132" t="s">
        <v>226</v>
      </c>
      <c r="F511" s="134">
        <f t="shared" si="285"/>
        <v>61.96</v>
      </c>
      <c r="G511" s="88">
        <f>G509*D511</f>
        <v>8.92</v>
      </c>
      <c r="H511" s="88">
        <f>H509*D511</f>
        <v>8.8000000000000007</v>
      </c>
      <c r="I511" s="88">
        <f>I509*D511</f>
        <v>8.8000000000000007</v>
      </c>
      <c r="J511" s="88">
        <f>J509*D511</f>
        <v>8.92</v>
      </c>
      <c r="K511" s="88">
        <f>K509*D511</f>
        <v>8.8000000000000007</v>
      </c>
      <c r="L511" s="88">
        <f>L509*D511</f>
        <v>8.92</v>
      </c>
      <c r="M511" s="88">
        <f>M509*D511</f>
        <v>8.8000000000000007</v>
      </c>
      <c r="N511" s="29"/>
      <c r="O511" s="29"/>
      <c r="P511" s="49" t="str">
        <f>VLOOKUP(B511,'Форма КП'!$B$27:$G$49,5,FALSE)</f>
        <v>Материал заказчика</v>
      </c>
      <c r="Q511" s="50"/>
      <c r="R511" s="49" t="str">
        <f t="shared" si="298"/>
        <v>Материал заказчика</v>
      </c>
      <c r="S511" s="50"/>
    </row>
    <row r="512" spans="1:19" ht="108" x14ac:dyDescent="0.25">
      <c r="A512" s="127" t="s">
        <v>673</v>
      </c>
      <c r="B512" s="128" t="s">
        <v>505</v>
      </c>
      <c r="C512" s="129" t="s">
        <v>779</v>
      </c>
      <c r="D512" s="130"/>
      <c r="E512" s="127" t="s">
        <v>224</v>
      </c>
      <c r="F512" s="131">
        <f t="shared" si="285"/>
        <v>45.92</v>
      </c>
      <c r="G512" s="113">
        <f t="shared" ref="G512:M512" si="299">2.43*2.7</f>
        <v>6.56</v>
      </c>
      <c r="H512" s="113">
        <f t="shared" si="299"/>
        <v>6.56</v>
      </c>
      <c r="I512" s="113">
        <f t="shared" si="299"/>
        <v>6.56</v>
      </c>
      <c r="J512" s="113">
        <f t="shared" si="299"/>
        <v>6.56</v>
      </c>
      <c r="K512" s="113">
        <f t="shared" si="299"/>
        <v>6.56</v>
      </c>
      <c r="L512" s="113">
        <f t="shared" si="299"/>
        <v>6.56</v>
      </c>
      <c r="M512" s="113">
        <f t="shared" si="299"/>
        <v>6.56</v>
      </c>
      <c r="N512" s="104">
        <f>VLOOKUP(B512,'Форма КП'!$B$17:$G$25,5,FALSE)</f>
        <v>0</v>
      </c>
      <c r="O512" s="104">
        <f>N512*F512</f>
        <v>0</v>
      </c>
      <c r="P512" s="104"/>
      <c r="Q512" s="104"/>
      <c r="R512" s="104">
        <f>N512</f>
        <v>0</v>
      </c>
      <c r="S512" s="104">
        <f>N512*F512</f>
        <v>0</v>
      </c>
    </row>
    <row r="513" spans="1:19" x14ac:dyDescent="0.25">
      <c r="A513" s="132" t="s">
        <v>674</v>
      </c>
      <c r="B513" s="128" t="s">
        <v>484</v>
      </c>
      <c r="C513" s="133" t="s">
        <v>225</v>
      </c>
      <c r="D513" s="90">
        <v>0.15</v>
      </c>
      <c r="E513" s="132" t="s">
        <v>226</v>
      </c>
      <c r="F513" s="134">
        <f t="shared" si="285"/>
        <v>6.86</v>
      </c>
      <c r="G513" s="88">
        <f>G512*D513</f>
        <v>0.98</v>
      </c>
      <c r="H513" s="88">
        <f>H512*D513</f>
        <v>0.98</v>
      </c>
      <c r="I513" s="88">
        <f>I512*D513</f>
        <v>0.98</v>
      </c>
      <c r="J513" s="88">
        <f>J512*D513</f>
        <v>0.98</v>
      </c>
      <c r="K513" s="88">
        <f>K512*D513</f>
        <v>0.98</v>
      </c>
      <c r="L513" s="88">
        <f>L512*D513</f>
        <v>0.98</v>
      </c>
      <c r="M513" s="88">
        <f>M512*D513</f>
        <v>0.98</v>
      </c>
      <c r="N513" s="29"/>
      <c r="O513" s="29"/>
      <c r="P513" s="49" t="str">
        <f>VLOOKUP(B513,'Форма КП'!$B$27:$G$49,5,FALSE)</f>
        <v>Материал заказчика</v>
      </c>
      <c r="Q513" s="50"/>
      <c r="R513" s="49" t="str">
        <f t="shared" ref="R513:R514" si="300">P513</f>
        <v>Материал заказчика</v>
      </c>
      <c r="S513" s="50"/>
    </row>
    <row r="514" spans="1:19" ht="24" x14ac:dyDescent="0.25">
      <c r="A514" s="132" t="s">
        <v>675</v>
      </c>
      <c r="B514" s="128" t="s">
        <v>508</v>
      </c>
      <c r="C514" s="133" t="s">
        <v>509</v>
      </c>
      <c r="D514" s="90">
        <v>0.25</v>
      </c>
      <c r="E514" s="132" t="s">
        <v>226</v>
      </c>
      <c r="F514" s="134">
        <f t="shared" si="285"/>
        <v>11.48</v>
      </c>
      <c r="G514" s="88">
        <f>G512*D514</f>
        <v>1.64</v>
      </c>
      <c r="H514" s="88">
        <f>H512*D514</f>
        <v>1.64</v>
      </c>
      <c r="I514" s="88">
        <f>I512*D514</f>
        <v>1.64</v>
      </c>
      <c r="J514" s="88">
        <f>J512*D514</f>
        <v>1.64</v>
      </c>
      <c r="K514" s="88">
        <f>K512*D514</f>
        <v>1.64</v>
      </c>
      <c r="L514" s="88">
        <f>L512*D514</f>
        <v>1.64</v>
      </c>
      <c r="M514" s="88">
        <f>M512*D514</f>
        <v>1.64</v>
      </c>
      <c r="N514" s="29"/>
      <c r="O514" s="29"/>
      <c r="P514" s="49" t="str">
        <f>VLOOKUP(B514,'Форма КП'!$B$27:$G$49,5,FALSE)</f>
        <v>Материал заказчика</v>
      </c>
      <c r="Q514" s="50"/>
      <c r="R514" s="49" t="str">
        <f t="shared" si="300"/>
        <v>Материал заказчика</v>
      </c>
      <c r="S514" s="50"/>
    </row>
    <row r="515" spans="1:19" x14ac:dyDescent="0.25">
      <c r="A515" s="126" t="s">
        <v>232</v>
      </c>
      <c r="B515" s="120"/>
      <c r="C515" s="121"/>
      <c r="D515" s="122"/>
      <c r="E515" s="123"/>
      <c r="F515" s="124"/>
      <c r="G515" s="125"/>
      <c r="H515" s="125"/>
      <c r="I515" s="125"/>
      <c r="J515" s="125"/>
      <c r="K515" s="125"/>
      <c r="L515" s="125"/>
      <c r="M515" s="125"/>
      <c r="N515" s="33"/>
      <c r="O515" s="33"/>
      <c r="P515" s="33"/>
      <c r="Q515" s="33"/>
      <c r="R515" s="33"/>
      <c r="S515" s="31"/>
    </row>
    <row r="516" spans="1:19" ht="216" x14ac:dyDescent="0.25">
      <c r="A516" s="127" t="s">
        <v>676</v>
      </c>
      <c r="B516" s="128" t="s">
        <v>510</v>
      </c>
      <c r="C516" s="129" t="s">
        <v>776</v>
      </c>
      <c r="D516" s="130"/>
      <c r="E516" s="127" t="s">
        <v>224</v>
      </c>
      <c r="F516" s="131">
        <f t="shared" ref="F516:F530" si="301">SUM(G516:M516)</f>
        <v>2475.61</v>
      </c>
      <c r="G516" s="113">
        <f>117.7*2.78+7.6*0.68+14.6*1.2+11.8*0.5+3.6*0.48</f>
        <v>357.52</v>
      </c>
      <c r="H516" s="113">
        <f>116.62*2.78+3*0.68+9.8*0.5+11.8*1.2+7.4*0.48</f>
        <v>348.86</v>
      </c>
      <c r="I516" s="113">
        <f>116.62*2.78+3*0.68+9.8*0.5+11.8*1.2+7.4*0.48</f>
        <v>348.86</v>
      </c>
      <c r="J516" s="113">
        <f>135.76*2.78+9.6*0.5+16.5*1.2+9.6*0.68+3.6*0.48</f>
        <v>410.27</v>
      </c>
      <c r="K516" s="116">
        <f>131.42*2.7-3*2.1-17.17*1.7-9.87*2.3+9.2*0.4</f>
        <v>300.32</v>
      </c>
      <c r="L516" s="116">
        <f>165.09*2.7-10.6*2.1-16.57*1.7-9.87*2.3+3.6*0.4</f>
        <v>374.05</v>
      </c>
      <c r="M516" s="116">
        <f>144.8*2.7-3*2.1-17.17*1.7-9.87*2.3+7.4*0.4</f>
        <v>335.73</v>
      </c>
      <c r="N516" s="104">
        <f>VLOOKUP(B516,'Форма КП'!$B$17:$G$25,5,FALSE)</f>
        <v>0</v>
      </c>
      <c r="O516" s="104">
        <f>N516*F516</f>
        <v>0</v>
      </c>
      <c r="P516" s="104"/>
      <c r="Q516" s="104"/>
      <c r="R516" s="104">
        <f>N516</f>
        <v>0</v>
      </c>
      <c r="S516" s="104">
        <f>N516*F516</f>
        <v>0</v>
      </c>
    </row>
    <row r="517" spans="1:19" x14ac:dyDescent="0.25">
      <c r="A517" s="132" t="s">
        <v>677</v>
      </c>
      <c r="B517" s="128" t="s">
        <v>486</v>
      </c>
      <c r="C517" s="133" t="s">
        <v>487</v>
      </c>
      <c r="D517" s="90">
        <v>1.45</v>
      </c>
      <c r="E517" s="132" t="s">
        <v>6</v>
      </c>
      <c r="F517" s="134">
        <f t="shared" si="301"/>
        <v>3589.63</v>
      </c>
      <c r="G517" s="88">
        <f>G516*D517</f>
        <v>518.4</v>
      </c>
      <c r="H517" s="88">
        <f>H516*D517</f>
        <v>505.85</v>
      </c>
      <c r="I517" s="88">
        <f>I516*D517</f>
        <v>505.85</v>
      </c>
      <c r="J517" s="88">
        <f>J516*D517</f>
        <v>594.89</v>
      </c>
      <c r="K517" s="106">
        <f>K516*D517</f>
        <v>435.46</v>
      </c>
      <c r="L517" s="106">
        <f>L516*D517</f>
        <v>542.37</v>
      </c>
      <c r="M517" s="106">
        <f>M516*D517</f>
        <v>486.81</v>
      </c>
      <c r="N517" s="29"/>
      <c r="O517" s="29"/>
      <c r="P517" s="86">
        <f>VLOOKUP(B517,'Форма КП'!$B$27:$G$49,5,FALSE)</f>
        <v>0</v>
      </c>
      <c r="Q517" s="86">
        <f t="shared" ref="Q517" si="302">P517*F517</f>
        <v>0</v>
      </c>
      <c r="R517" s="32">
        <f t="shared" ref="R517:R519" si="303">P517</f>
        <v>0</v>
      </c>
      <c r="S517" s="32">
        <f t="shared" ref="S517" si="304">P517*F517</f>
        <v>0</v>
      </c>
    </row>
    <row r="518" spans="1:19" x14ac:dyDescent="0.25">
      <c r="A518" s="132" t="s">
        <v>678</v>
      </c>
      <c r="B518" s="128" t="s">
        <v>488</v>
      </c>
      <c r="C518" s="133" t="s">
        <v>489</v>
      </c>
      <c r="D518" s="90">
        <v>0.2</v>
      </c>
      <c r="E518" s="132" t="s">
        <v>228</v>
      </c>
      <c r="F518" s="134">
        <f t="shared" si="301"/>
        <v>495.11</v>
      </c>
      <c r="G518" s="88">
        <f>G516*D518</f>
        <v>71.5</v>
      </c>
      <c r="H518" s="88">
        <f>H516*D518</f>
        <v>69.77</v>
      </c>
      <c r="I518" s="88">
        <f>I516*D518</f>
        <v>69.77</v>
      </c>
      <c r="J518" s="88">
        <f>J516*D518</f>
        <v>82.05</v>
      </c>
      <c r="K518" s="106">
        <f>(131.42*2.7-3*2.1-17.17*1.7-9.87*2.3+9.2*0.4)*D518</f>
        <v>60.06</v>
      </c>
      <c r="L518" s="106">
        <f>(165.09*2.7-10.6*2.1-16.57*1.7-9.87*2.3+3.6*0.4)*D518</f>
        <v>74.81</v>
      </c>
      <c r="M518" s="106">
        <f>(144.8*2.7-3*2.1-17.17*1.7-9.87*2.3+7.4*0.4)*D518</f>
        <v>67.150000000000006</v>
      </c>
      <c r="N518" s="29"/>
      <c r="O518" s="29"/>
      <c r="P518" s="49" t="str">
        <f>VLOOKUP(B518,'Форма КП'!$B$27:$G$49,5,FALSE)</f>
        <v>Материал заказчика</v>
      </c>
      <c r="Q518" s="50"/>
      <c r="R518" s="49" t="str">
        <f t="shared" si="303"/>
        <v>Материал заказчика</v>
      </c>
      <c r="S518" s="50"/>
    </row>
    <row r="519" spans="1:19" x14ac:dyDescent="0.25">
      <c r="A519" s="132" t="s">
        <v>679</v>
      </c>
      <c r="B519" s="128" t="s">
        <v>511</v>
      </c>
      <c r="C519" s="133" t="s">
        <v>512</v>
      </c>
      <c r="D519" s="90">
        <v>16</v>
      </c>
      <c r="E519" s="132" t="s">
        <v>228</v>
      </c>
      <c r="F519" s="134">
        <f t="shared" si="301"/>
        <v>39609.760000000002</v>
      </c>
      <c r="G519" s="88">
        <f>G516*D519</f>
        <v>5720.32</v>
      </c>
      <c r="H519" s="88">
        <f>H516*D519</f>
        <v>5581.76</v>
      </c>
      <c r="I519" s="88">
        <f>I516*D519</f>
        <v>5581.76</v>
      </c>
      <c r="J519" s="88">
        <f>J516*D519</f>
        <v>6564.32</v>
      </c>
      <c r="K519" s="106">
        <f>K516*D519</f>
        <v>4805.12</v>
      </c>
      <c r="L519" s="106">
        <f>L516*D519</f>
        <v>5984.8</v>
      </c>
      <c r="M519" s="106">
        <f>M516*D519</f>
        <v>5371.68</v>
      </c>
      <c r="N519" s="29"/>
      <c r="O519" s="29"/>
      <c r="P519" s="49" t="str">
        <f>VLOOKUP(B519,'Форма КП'!$B$27:$G$49,5,FALSE)</f>
        <v>Материал заказчика</v>
      </c>
      <c r="Q519" s="50"/>
      <c r="R519" s="49" t="str">
        <f t="shared" si="303"/>
        <v>Материал заказчика</v>
      </c>
      <c r="S519" s="50"/>
    </row>
    <row r="520" spans="1:19" ht="216" x14ac:dyDescent="0.25">
      <c r="A520" s="127" t="s">
        <v>680</v>
      </c>
      <c r="B520" s="128" t="s">
        <v>510</v>
      </c>
      <c r="C520" s="129" t="s">
        <v>776</v>
      </c>
      <c r="D520" s="130"/>
      <c r="E520" s="127" t="s">
        <v>224</v>
      </c>
      <c r="F520" s="131">
        <f t="shared" si="301"/>
        <v>2310.37</v>
      </c>
      <c r="G520" s="113">
        <f>130*2.78+21.6*0.68</f>
        <v>376.09</v>
      </c>
      <c r="H520" s="113">
        <f>111.56*2.78+17.8*0.68</f>
        <v>322.24</v>
      </c>
      <c r="I520" s="113">
        <f>111.56*2.78+17.8*0.68</f>
        <v>322.24</v>
      </c>
      <c r="J520" s="113">
        <f>121*2.78+25.2*0.68</f>
        <v>353.52</v>
      </c>
      <c r="K520" s="116">
        <f>118.52*2.7-16*2.1</f>
        <v>286.39999999999998</v>
      </c>
      <c r="L520" s="116">
        <f>148.27*2.7-25.4*2.1</f>
        <v>346.99</v>
      </c>
      <c r="M520" s="116">
        <f>125.87*2.7-17.6*2.1</f>
        <v>302.89</v>
      </c>
      <c r="N520" s="104">
        <f>VLOOKUP(B520,'Форма КП'!$B$17:$G$25,5,FALSE)</f>
        <v>0</v>
      </c>
      <c r="O520" s="104">
        <f>N520*F520</f>
        <v>0</v>
      </c>
      <c r="P520" s="104"/>
      <c r="Q520" s="104"/>
      <c r="R520" s="104">
        <f>N520</f>
        <v>0</v>
      </c>
      <c r="S520" s="104">
        <f>N520*F520</f>
        <v>0</v>
      </c>
    </row>
    <row r="521" spans="1:19" x14ac:dyDescent="0.25">
      <c r="A521" s="132" t="s">
        <v>681</v>
      </c>
      <c r="B521" s="128" t="s">
        <v>486</v>
      </c>
      <c r="C521" s="133" t="s">
        <v>487</v>
      </c>
      <c r="D521" s="90">
        <v>1.45</v>
      </c>
      <c r="E521" s="132" t="s">
        <v>6</v>
      </c>
      <c r="F521" s="134">
        <f t="shared" si="301"/>
        <v>3350.04</v>
      </c>
      <c r="G521" s="88">
        <f>G520*D521</f>
        <v>545.33000000000004</v>
      </c>
      <c r="H521" s="88">
        <f>H520*D521</f>
        <v>467.25</v>
      </c>
      <c r="I521" s="88">
        <f>I520*D521</f>
        <v>467.25</v>
      </c>
      <c r="J521" s="88">
        <f>J520*D521</f>
        <v>512.6</v>
      </c>
      <c r="K521" s="106">
        <f>K520*D521</f>
        <v>415.28</v>
      </c>
      <c r="L521" s="106">
        <f>L520*D521</f>
        <v>503.14</v>
      </c>
      <c r="M521" s="106">
        <f>M520*D521</f>
        <v>439.19</v>
      </c>
      <c r="N521" s="29"/>
      <c r="O521" s="29"/>
      <c r="P521" s="86">
        <f>VLOOKUP(B521,'Форма КП'!$B$27:$G$49,5,FALSE)</f>
        <v>0</v>
      </c>
      <c r="Q521" s="86">
        <f t="shared" ref="Q521" si="305">P521*F521</f>
        <v>0</v>
      </c>
      <c r="R521" s="32">
        <f t="shared" ref="R521:R523" si="306">P521</f>
        <v>0</v>
      </c>
      <c r="S521" s="32">
        <f t="shared" ref="S521" si="307">P521*F521</f>
        <v>0</v>
      </c>
    </row>
    <row r="522" spans="1:19" x14ac:dyDescent="0.25">
      <c r="A522" s="132" t="s">
        <v>682</v>
      </c>
      <c r="B522" s="128" t="s">
        <v>484</v>
      </c>
      <c r="C522" s="133" t="s">
        <v>225</v>
      </c>
      <c r="D522" s="90">
        <v>0.4</v>
      </c>
      <c r="E522" s="132" t="s">
        <v>226</v>
      </c>
      <c r="F522" s="134">
        <f t="shared" si="301"/>
        <v>924.17</v>
      </c>
      <c r="G522" s="88">
        <f>G520*D522</f>
        <v>150.44</v>
      </c>
      <c r="H522" s="88">
        <f>H520*D522</f>
        <v>128.9</v>
      </c>
      <c r="I522" s="88">
        <f>I520*D522</f>
        <v>128.9</v>
      </c>
      <c r="J522" s="88">
        <f>J520*D522</f>
        <v>141.41</v>
      </c>
      <c r="K522" s="106">
        <f>(118.52*2.7-16*2.1)*D522</f>
        <v>114.56</v>
      </c>
      <c r="L522" s="106">
        <f>(148.27*2.7-25.4*2.1)*D522</f>
        <v>138.80000000000001</v>
      </c>
      <c r="M522" s="106">
        <f>(125.87*2.7-17.6*2.1)*D522</f>
        <v>121.16</v>
      </c>
      <c r="N522" s="29"/>
      <c r="O522" s="29"/>
      <c r="P522" s="49" t="str">
        <f>VLOOKUP(B522,'Форма КП'!$B$27:$G$49,5,FALSE)</f>
        <v>Материал заказчика</v>
      </c>
      <c r="Q522" s="50"/>
      <c r="R522" s="49" t="str">
        <f t="shared" si="306"/>
        <v>Материал заказчика</v>
      </c>
      <c r="S522" s="50"/>
    </row>
    <row r="523" spans="1:19" x14ac:dyDescent="0.25">
      <c r="A523" s="132" t="s">
        <v>683</v>
      </c>
      <c r="B523" s="128" t="s">
        <v>511</v>
      </c>
      <c r="C523" s="133" t="s">
        <v>512</v>
      </c>
      <c r="D523" s="90">
        <v>16</v>
      </c>
      <c r="E523" s="132" t="s">
        <v>228</v>
      </c>
      <c r="F523" s="134">
        <f t="shared" si="301"/>
        <v>36965.919999999998</v>
      </c>
      <c r="G523" s="88">
        <f>G520*D523</f>
        <v>6017.44</v>
      </c>
      <c r="H523" s="88">
        <f>H520*D523</f>
        <v>5155.84</v>
      </c>
      <c r="I523" s="88">
        <f>I520*D523</f>
        <v>5155.84</v>
      </c>
      <c r="J523" s="88">
        <f>J520*D523</f>
        <v>5656.32</v>
      </c>
      <c r="K523" s="106">
        <f>K520*D523</f>
        <v>4582.3999999999996</v>
      </c>
      <c r="L523" s="106">
        <f>L520*D523</f>
        <v>5551.84</v>
      </c>
      <c r="M523" s="106">
        <f>M520*D523</f>
        <v>4846.24</v>
      </c>
      <c r="N523" s="29"/>
      <c r="O523" s="29"/>
      <c r="P523" s="49" t="str">
        <f>VLOOKUP(B523,'Форма КП'!$B$27:$G$49,5,FALSE)</f>
        <v>Материал заказчика</v>
      </c>
      <c r="Q523" s="50"/>
      <c r="R523" s="49" t="str">
        <f t="shared" si="306"/>
        <v>Материал заказчика</v>
      </c>
      <c r="S523" s="50"/>
    </row>
    <row r="524" spans="1:19" ht="132" x14ac:dyDescent="0.25">
      <c r="A524" s="127" t="s">
        <v>684</v>
      </c>
      <c r="B524" s="128" t="s">
        <v>481</v>
      </c>
      <c r="C524" s="129" t="s">
        <v>778</v>
      </c>
      <c r="D524" s="130"/>
      <c r="E524" s="127" t="s">
        <v>224</v>
      </c>
      <c r="F524" s="131">
        <f t="shared" si="301"/>
        <v>2093.27</v>
      </c>
      <c r="G524" s="116">
        <f>G520+G516</f>
        <v>733.61</v>
      </c>
      <c r="H524" s="116"/>
      <c r="I524" s="116"/>
      <c r="J524" s="116"/>
      <c r="K524" s="116"/>
      <c r="L524" s="116">
        <f>L516+L520</f>
        <v>721.04</v>
      </c>
      <c r="M524" s="116">
        <f>M516+M520</f>
        <v>638.62</v>
      </c>
      <c r="N524" s="104">
        <f>VLOOKUP(B524,'Форма КП'!$B$17:$G$25,5,FALSE)</f>
        <v>0</v>
      </c>
      <c r="O524" s="104">
        <f>N524*F524</f>
        <v>0</v>
      </c>
      <c r="P524" s="104"/>
      <c r="Q524" s="104"/>
      <c r="R524" s="104">
        <f>N524</f>
        <v>0</v>
      </c>
      <c r="S524" s="104">
        <f>N524*F524</f>
        <v>0</v>
      </c>
    </row>
    <row r="525" spans="1:19" x14ac:dyDescent="0.25">
      <c r="A525" s="132" t="s">
        <v>685</v>
      </c>
      <c r="B525" s="128" t="s">
        <v>482</v>
      </c>
      <c r="C525" s="133" t="s">
        <v>483</v>
      </c>
      <c r="D525" s="136">
        <v>2.4</v>
      </c>
      <c r="E525" s="132" t="s">
        <v>228</v>
      </c>
      <c r="F525" s="134">
        <f t="shared" si="301"/>
        <v>5023.8500000000004</v>
      </c>
      <c r="G525" s="88">
        <f>G524*D525</f>
        <v>1760.66</v>
      </c>
      <c r="H525" s="88">
        <f>H524*D525</f>
        <v>0</v>
      </c>
      <c r="I525" s="88">
        <f>I524*D525</f>
        <v>0</v>
      </c>
      <c r="J525" s="88">
        <f>J524*D525</f>
        <v>0</v>
      </c>
      <c r="K525" s="106">
        <f>K524*D525</f>
        <v>0</v>
      </c>
      <c r="L525" s="106">
        <f>L524*D525</f>
        <v>1730.5</v>
      </c>
      <c r="M525" s="106">
        <f>M524*D525</f>
        <v>1532.69</v>
      </c>
      <c r="N525" s="29"/>
      <c r="O525" s="29"/>
      <c r="P525" s="49" t="str">
        <f>VLOOKUP(B525,'Форма КП'!$B$27:$G$49,5,FALSE)</f>
        <v>Материал заказчика</v>
      </c>
      <c r="Q525" s="50"/>
      <c r="R525" s="49" t="str">
        <f t="shared" ref="R525:R526" si="308">P525</f>
        <v>Материал заказчика</v>
      </c>
      <c r="S525" s="50"/>
    </row>
    <row r="526" spans="1:19" x14ac:dyDescent="0.25">
      <c r="A526" s="132" t="s">
        <v>686</v>
      </c>
      <c r="B526" s="128" t="s">
        <v>484</v>
      </c>
      <c r="C526" s="133" t="s">
        <v>225</v>
      </c>
      <c r="D526" s="136">
        <v>0.15</v>
      </c>
      <c r="E526" s="132" t="s">
        <v>226</v>
      </c>
      <c r="F526" s="134">
        <f t="shared" si="301"/>
        <v>313.99</v>
      </c>
      <c r="G526" s="88">
        <f>G524*D526</f>
        <v>110.04</v>
      </c>
      <c r="H526" s="88">
        <f>H524*D526</f>
        <v>0</v>
      </c>
      <c r="I526" s="88">
        <f>I524*D526</f>
        <v>0</v>
      </c>
      <c r="J526" s="88">
        <f>J524*D526</f>
        <v>0</v>
      </c>
      <c r="K526" s="106">
        <f>K524*D526</f>
        <v>0</v>
      </c>
      <c r="L526" s="106">
        <f>L524*D526</f>
        <v>108.16</v>
      </c>
      <c r="M526" s="106">
        <f>M524*D526</f>
        <v>95.79</v>
      </c>
      <c r="N526" s="29"/>
      <c r="O526" s="29"/>
      <c r="P526" s="49" t="str">
        <f>VLOOKUP(B526,'Форма КП'!$B$27:$G$49,5,FALSE)</f>
        <v>Материал заказчика</v>
      </c>
      <c r="Q526" s="50"/>
      <c r="R526" s="49" t="str">
        <f t="shared" si="308"/>
        <v>Материал заказчика</v>
      </c>
      <c r="S526" s="50"/>
    </row>
    <row r="527" spans="1:19" ht="264" x14ac:dyDescent="0.25">
      <c r="A527" s="127" t="s">
        <v>687</v>
      </c>
      <c r="B527" s="128" t="s">
        <v>474</v>
      </c>
      <c r="C527" s="129" t="s">
        <v>782</v>
      </c>
      <c r="D527" s="130"/>
      <c r="E527" s="127" t="s">
        <v>224</v>
      </c>
      <c r="F527" s="131">
        <f t="shared" si="301"/>
        <v>111.86</v>
      </c>
      <c r="G527" s="115">
        <f>6.66*2.75+1.02*2.81</f>
        <v>21.18</v>
      </c>
      <c r="H527" s="115">
        <f>3.48*2.75</f>
        <v>9.57</v>
      </c>
      <c r="I527" s="115">
        <f>3.48*2.75</f>
        <v>9.57</v>
      </c>
      <c r="J527" s="115">
        <f>8.69*2.75</f>
        <v>23.9</v>
      </c>
      <c r="K527" s="115">
        <f>3.48*2.75</f>
        <v>9.57</v>
      </c>
      <c r="L527" s="115">
        <f>6.39*2.75+1.05*2.81</f>
        <v>20.52</v>
      </c>
      <c r="M527" s="115">
        <f>3.95*2.75+2.38*2.81</f>
        <v>17.55</v>
      </c>
      <c r="N527" s="104">
        <f>VLOOKUP(B527,'Форма КП'!$B$17:$G$25,5,FALSE)</f>
        <v>0</v>
      </c>
      <c r="O527" s="104">
        <f>N527*F527</f>
        <v>0</v>
      </c>
      <c r="P527" s="104"/>
      <c r="Q527" s="104"/>
      <c r="R527" s="104">
        <f>N527</f>
        <v>0</v>
      </c>
      <c r="S527" s="104">
        <f>N527*F527</f>
        <v>0</v>
      </c>
    </row>
    <row r="528" spans="1:19" x14ac:dyDescent="0.25">
      <c r="A528" s="132" t="s">
        <v>688</v>
      </c>
      <c r="B528" s="128" t="s">
        <v>524</v>
      </c>
      <c r="C528" s="133" t="s">
        <v>525</v>
      </c>
      <c r="D528" s="90">
        <v>2.25</v>
      </c>
      <c r="E528" s="132" t="s">
        <v>224</v>
      </c>
      <c r="F528" s="134">
        <f t="shared" si="301"/>
        <v>251.69</v>
      </c>
      <c r="G528" s="88">
        <f>G527*D528</f>
        <v>47.66</v>
      </c>
      <c r="H528" s="88">
        <f>H527*D528</f>
        <v>21.53</v>
      </c>
      <c r="I528" s="88">
        <f>I527*D528</f>
        <v>21.53</v>
      </c>
      <c r="J528" s="88">
        <f>J527*D528</f>
        <v>53.78</v>
      </c>
      <c r="K528" s="106">
        <f>K527*D528</f>
        <v>21.53</v>
      </c>
      <c r="L528" s="106">
        <f>L527*D528</f>
        <v>46.17</v>
      </c>
      <c r="M528" s="106">
        <f>M527*D528</f>
        <v>39.49</v>
      </c>
      <c r="N528" s="29"/>
      <c r="O528" s="29"/>
      <c r="P528" s="86">
        <f>VLOOKUP(B528,'Форма КП'!$B$27:$G$49,5,FALSE)</f>
        <v>0</v>
      </c>
      <c r="Q528" s="86">
        <f t="shared" ref="Q528:Q530" si="309">P528*F528</f>
        <v>0</v>
      </c>
      <c r="R528" s="32">
        <f t="shared" ref="R528:R530" si="310">P528</f>
        <v>0</v>
      </c>
      <c r="S528" s="32">
        <f t="shared" ref="S528:S530" si="311">P528*F528</f>
        <v>0</v>
      </c>
    </row>
    <row r="529" spans="1:19" x14ac:dyDescent="0.25">
      <c r="A529" s="132" t="s">
        <v>689</v>
      </c>
      <c r="B529" s="128" t="s">
        <v>477</v>
      </c>
      <c r="C529" s="133" t="s">
        <v>478</v>
      </c>
      <c r="D529" s="90">
        <v>0.86</v>
      </c>
      <c r="E529" s="132" t="s">
        <v>6</v>
      </c>
      <c r="F529" s="134">
        <f t="shared" si="301"/>
        <v>96.19</v>
      </c>
      <c r="G529" s="88">
        <f>G527*D529</f>
        <v>18.21</v>
      </c>
      <c r="H529" s="88">
        <f>H527*D529</f>
        <v>8.23</v>
      </c>
      <c r="I529" s="88">
        <f>I527*D529</f>
        <v>8.23</v>
      </c>
      <c r="J529" s="88">
        <f>J527*D529</f>
        <v>20.55</v>
      </c>
      <c r="K529" s="106">
        <f>K527*D529</f>
        <v>8.23</v>
      </c>
      <c r="L529" s="106">
        <f>L527*D529</f>
        <v>17.649999999999999</v>
      </c>
      <c r="M529" s="106">
        <f>M527*D529</f>
        <v>15.09</v>
      </c>
      <c r="N529" s="29"/>
      <c r="O529" s="29"/>
      <c r="P529" s="86">
        <f>VLOOKUP(B529,'Форма КП'!$B$27:$G$49,5,FALSE)</f>
        <v>0</v>
      </c>
      <c r="Q529" s="86">
        <f t="shared" si="309"/>
        <v>0</v>
      </c>
      <c r="R529" s="32">
        <f t="shared" si="310"/>
        <v>0</v>
      </c>
      <c r="S529" s="32">
        <f t="shared" si="311"/>
        <v>0</v>
      </c>
    </row>
    <row r="530" spans="1:19" x14ac:dyDescent="0.25">
      <c r="A530" s="132" t="s">
        <v>690</v>
      </c>
      <c r="B530" s="128" t="s">
        <v>479</v>
      </c>
      <c r="C530" s="133" t="s">
        <v>480</v>
      </c>
      <c r="D530" s="90">
        <v>2.34</v>
      </c>
      <c r="E530" s="132" t="s">
        <v>6</v>
      </c>
      <c r="F530" s="134">
        <f t="shared" si="301"/>
        <v>261.75</v>
      </c>
      <c r="G530" s="88">
        <f>G527*D530</f>
        <v>49.56</v>
      </c>
      <c r="H530" s="88">
        <f>H527*D530</f>
        <v>22.39</v>
      </c>
      <c r="I530" s="88">
        <f>I527*D530</f>
        <v>22.39</v>
      </c>
      <c r="J530" s="88">
        <f>J527*D530</f>
        <v>55.93</v>
      </c>
      <c r="K530" s="106">
        <f>K527*D530</f>
        <v>22.39</v>
      </c>
      <c r="L530" s="106">
        <f>L527*D530</f>
        <v>48.02</v>
      </c>
      <c r="M530" s="106">
        <f>M527*D530</f>
        <v>41.07</v>
      </c>
      <c r="N530" s="29"/>
      <c r="O530" s="29"/>
      <c r="P530" s="86">
        <f>VLOOKUP(B530,'Форма КП'!$B$27:$G$49,5,FALSE)</f>
        <v>0</v>
      </c>
      <c r="Q530" s="86">
        <f t="shared" si="309"/>
        <v>0</v>
      </c>
      <c r="R530" s="32">
        <f t="shared" si="310"/>
        <v>0</v>
      </c>
      <c r="S530" s="32">
        <f t="shared" si="311"/>
        <v>0</v>
      </c>
    </row>
    <row r="531" spans="1:19" x14ac:dyDescent="0.25">
      <c r="A531" s="119" t="s">
        <v>418</v>
      </c>
      <c r="B531" s="120"/>
      <c r="C531" s="121"/>
      <c r="D531" s="122"/>
      <c r="E531" s="123"/>
      <c r="F531" s="124"/>
      <c r="G531" s="125"/>
      <c r="H531" s="125"/>
      <c r="I531" s="125"/>
      <c r="J531" s="125"/>
      <c r="K531" s="125"/>
      <c r="L531" s="125"/>
      <c r="M531" s="125"/>
      <c r="N531" s="33"/>
      <c r="O531" s="33"/>
      <c r="P531" s="33"/>
      <c r="Q531" s="33"/>
      <c r="R531" s="33"/>
      <c r="S531" s="31"/>
    </row>
    <row r="532" spans="1:19" x14ac:dyDescent="0.25">
      <c r="A532" s="126" t="s">
        <v>223</v>
      </c>
      <c r="B532" s="120"/>
      <c r="C532" s="121"/>
      <c r="D532" s="122"/>
      <c r="E532" s="123"/>
      <c r="F532" s="124"/>
      <c r="G532" s="125"/>
      <c r="H532" s="125"/>
      <c r="I532" s="125"/>
      <c r="J532" s="125"/>
      <c r="K532" s="125"/>
      <c r="L532" s="125"/>
      <c r="M532" s="125"/>
      <c r="N532" s="33"/>
      <c r="O532" s="33"/>
      <c r="P532" s="33"/>
      <c r="Q532" s="33"/>
      <c r="R532" s="33"/>
      <c r="S532" s="31"/>
    </row>
    <row r="533" spans="1:19" ht="264" x14ac:dyDescent="0.25">
      <c r="A533" s="127" t="s">
        <v>691</v>
      </c>
      <c r="B533" s="128" t="s">
        <v>474</v>
      </c>
      <c r="C533" s="129" t="s">
        <v>782</v>
      </c>
      <c r="D533" s="130"/>
      <c r="E533" s="127" t="s">
        <v>224</v>
      </c>
      <c r="F533" s="131">
        <f t="shared" ref="F533:F558" si="312">SUM(G533:M533)</f>
        <v>107.17</v>
      </c>
      <c r="G533" s="113">
        <f>6.46*2.81-2.4*2.3+4.94*2.81</f>
        <v>26.51</v>
      </c>
      <c r="H533" s="113">
        <f>6.46*2.81-2.4*2.3+5.1*2.81</f>
        <v>26.96</v>
      </c>
      <c r="I533" s="113">
        <f>6.46*2.81-2.4*2.3+5.1*2.81</f>
        <v>26.96</v>
      </c>
      <c r="J533" s="113">
        <f>6.46*2.81-2.4*2.3+5.02*2.81</f>
        <v>26.74</v>
      </c>
      <c r="K533" s="113"/>
      <c r="L533" s="113"/>
      <c r="M533" s="113"/>
      <c r="N533" s="104">
        <f>VLOOKUP(B533,'Форма КП'!$B$17:$G$25,5,FALSE)</f>
        <v>0</v>
      </c>
      <c r="O533" s="104">
        <f>N533*F533</f>
        <v>0</v>
      </c>
      <c r="P533" s="104"/>
      <c r="Q533" s="104"/>
      <c r="R533" s="104">
        <f>N533</f>
        <v>0</v>
      </c>
      <c r="S533" s="104">
        <f>N533*F533</f>
        <v>0</v>
      </c>
    </row>
    <row r="534" spans="1:19" x14ac:dyDescent="0.25">
      <c r="A534" s="132" t="s">
        <v>692</v>
      </c>
      <c r="B534" s="128" t="s">
        <v>475</v>
      </c>
      <c r="C534" s="133" t="s">
        <v>476</v>
      </c>
      <c r="D534" s="90">
        <v>2.25</v>
      </c>
      <c r="E534" s="132" t="s">
        <v>224</v>
      </c>
      <c r="F534" s="134">
        <f t="shared" si="312"/>
        <v>241.14</v>
      </c>
      <c r="G534" s="88">
        <f>G533*D534</f>
        <v>59.65</v>
      </c>
      <c r="H534" s="88">
        <f>H533*D534</f>
        <v>60.66</v>
      </c>
      <c r="I534" s="88">
        <f>I533*D534</f>
        <v>60.66</v>
      </c>
      <c r="J534" s="88">
        <f>J533*D534</f>
        <v>60.17</v>
      </c>
      <c r="K534" s="88"/>
      <c r="L534" s="88"/>
      <c r="M534" s="88"/>
      <c r="N534" s="29"/>
      <c r="O534" s="29"/>
      <c r="P534" s="86">
        <f>VLOOKUP(B534,'Форма КП'!$B$27:$G$49,5,FALSE)</f>
        <v>0</v>
      </c>
      <c r="Q534" s="86">
        <f t="shared" ref="Q534:Q536" si="313">P534*F534</f>
        <v>0</v>
      </c>
      <c r="R534" s="32">
        <f t="shared" ref="R534:R536" si="314">P534</f>
        <v>0</v>
      </c>
      <c r="S534" s="32">
        <f t="shared" ref="S534:S536" si="315">P534*F534</f>
        <v>0</v>
      </c>
    </row>
    <row r="535" spans="1:19" x14ac:dyDescent="0.25">
      <c r="A535" s="132" t="s">
        <v>693</v>
      </c>
      <c r="B535" s="128" t="s">
        <v>477</v>
      </c>
      <c r="C535" s="133" t="s">
        <v>478</v>
      </c>
      <c r="D535" s="90">
        <v>0.86</v>
      </c>
      <c r="E535" s="132" t="s">
        <v>6</v>
      </c>
      <c r="F535" s="134">
        <f t="shared" si="312"/>
        <v>92.18</v>
      </c>
      <c r="G535" s="88">
        <f>G533*D535</f>
        <v>22.8</v>
      </c>
      <c r="H535" s="88">
        <f>H533*D535</f>
        <v>23.19</v>
      </c>
      <c r="I535" s="88">
        <f>I533*D535</f>
        <v>23.19</v>
      </c>
      <c r="J535" s="88">
        <f>J533*D535</f>
        <v>23</v>
      </c>
      <c r="K535" s="88"/>
      <c r="L535" s="88"/>
      <c r="M535" s="88"/>
      <c r="N535" s="29"/>
      <c r="O535" s="29"/>
      <c r="P535" s="86">
        <f>VLOOKUP(B535,'Форма КП'!$B$27:$G$49,5,FALSE)</f>
        <v>0</v>
      </c>
      <c r="Q535" s="86">
        <f t="shared" si="313"/>
        <v>0</v>
      </c>
      <c r="R535" s="32">
        <f t="shared" si="314"/>
        <v>0</v>
      </c>
      <c r="S535" s="32">
        <f t="shared" si="315"/>
        <v>0</v>
      </c>
    </row>
    <row r="536" spans="1:19" x14ac:dyDescent="0.25">
      <c r="A536" s="132" t="s">
        <v>694</v>
      </c>
      <c r="B536" s="128" t="s">
        <v>479</v>
      </c>
      <c r="C536" s="133" t="s">
        <v>480</v>
      </c>
      <c r="D536" s="90">
        <v>2.34</v>
      </c>
      <c r="E536" s="132" t="s">
        <v>6</v>
      </c>
      <c r="F536" s="134">
        <f t="shared" si="312"/>
        <v>250.78</v>
      </c>
      <c r="G536" s="88">
        <f>G533*D536</f>
        <v>62.03</v>
      </c>
      <c r="H536" s="88">
        <f>H533*D536</f>
        <v>63.09</v>
      </c>
      <c r="I536" s="88">
        <f>I533*D536</f>
        <v>63.09</v>
      </c>
      <c r="J536" s="88">
        <f>J533*D536</f>
        <v>62.57</v>
      </c>
      <c r="K536" s="88"/>
      <c r="L536" s="88"/>
      <c r="M536" s="88"/>
      <c r="N536" s="29"/>
      <c r="O536" s="29"/>
      <c r="P536" s="86">
        <f>VLOOKUP(B536,'Форма КП'!$B$27:$G$49,5,FALSE)</f>
        <v>0</v>
      </c>
      <c r="Q536" s="86">
        <f t="shared" si="313"/>
        <v>0</v>
      </c>
      <c r="R536" s="32">
        <f t="shared" si="314"/>
        <v>0</v>
      </c>
      <c r="S536" s="32">
        <f t="shared" si="315"/>
        <v>0</v>
      </c>
    </row>
    <row r="537" spans="1:19" ht="216" x14ac:dyDescent="0.25">
      <c r="A537" s="127" t="s">
        <v>695</v>
      </c>
      <c r="B537" s="128" t="s">
        <v>510</v>
      </c>
      <c r="C537" s="129" t="s">
        <v>776</v>
      </c>
      <c r="D537" s="130"/>
      <c r="E537" s="127" t="s">
        <v>224</v>
      </c>
      <c r="F537" s="131">
        <f t="shared" si="312"/>
        <v>453.7</v>
      </c>
      <c r="G537" s="113">
        <f>(64.23-2)*2.7-12.99*2.1-1.37*1.7</f>
        <v>138.41</v>
      </c>
      <c r="H537" s="113">
        <f>(45.78-2)*2.7-8.2*2.1-3.05*1.7</f>
        <v>95.8</v>
      </c>
      <c r="I537" s="113">
        <f>(45.78-2)*2.7-8.2*2.1-3.05*1.7</f>
        <v>95.8</v>
      </c>
      <c r="J537" s="113">
        <f>(58-2)*2.7-11.99*2.1-1.37*1.7</f>
        <v>123.69</v>
      </c>
      <c r="K537" s="113"/>
      <c r="L537" s="113"/>
      <c r="M537" s="113"/>
      <c r="N537" s="104">
        <f>VLOOKUP(B537,'Форма КП'!$B$17:$G$25,5,FALSE)</f>
        <v>0</v>
      </c>
      <c r="O537" s="104">
        <f>N537*F537</f>
        <v>0</v>
      </c>
      <c r="P537" s="104"/>
      <c r="Q537" s="104"/>
      <c r="R537" s="104">
        <f>N537</f>
        <v>0</v>
      </c>
      <c r="S537" s="104">
        <f>N537*F537</f>
        <v>0</v>
      </c>
    </row>
    <row r="538" spans="1:19" x14ac:dyDescent="0.25">
      <c r="A538" s="132" t="s">
        <v>696</v>
      </c>
      <c r="B538" s="128" t="s">
        <v>486</v>
      </c>
      <c r="C538" s="133" t="s">
        <v>487</v>
      </c>
      <c r="D538" s="90">
        <v>1.45</v>
      </c>
      <c r="E538" s="132" t="s">
        <v>6</v>
      </c>
      <c r="F538" s="134">
        <f t="shared" si="312"/>
        <v>657.86</v>
      </c>
      <c r="G538" s="88">
        <f>G537*D538</f>
        <v>200.69</v>
      </c>
      <c r="H538" s="88">
        <f>H537*D538</f>
        <v>138.91</v>
      </c>
      <c r="I538" s="88">
        <f>I537*D538</f>
        <v>138.91</v>
      </c>
      <c r="J538" s="88">
        <f>J537*D538</f>
        <v>179.35</v>
      </c>
      <c r="K538" s="88"/>
      <c r="L538" s="88"/>
      <c r="M538" s="88"/>
      <c r="N538" s="29"/>
      <c r="O538" s="29"/>
      <c r="P538" s="86">
        <f>VLOOKUP(B538,'Форма КП'!$B$27:$G$49,5,FALSE)</f>
        <v>0</v>
      </c>
      <c r="Q538" s="86">
        <f t="shared" ref="Q538" si="316">P538*F538</f>
        <v>0</v>
      </c>
      <c r="R538" s="32">
        <f t="shared" ref="R538:R540" si="317">P538</f>
        <v>0</v>
      </c>
      <c r="S538" s="32">
        <f t="shared" ref="S538" si="318">P538*F538</f>
        <v>0</v>
      </c>
    </row>
    <row r="539" spans="1:19" x14ac:dyDescent="0.25">
      <c r="A539" s="132" t="s">
        <v>697</v>
      </c>
      <c r="B539" s="128" t="s">
        <v>488</v>
      </c>
      <c r="C539" s="133" t="s">
        <v>489</v>
      </c>
      <c r="D539" s="90">
        <v>0.2</v>
      </c>
      <c r="E539" s="132" t="s">
        <v>228</v>
      </c>
      <c r="F539" s="134">
        <f t="shared" si="312"/>
        <v>92.9</v>
      </c>
      <c r="G539" s="88">
        <f>((64.23-2)*2.7-12.99*2.1-1.37*1.7)*D539</f>
        <v>27.68</v>
      </c>
      <c r="H539" s="88">
        <f>(45.78*2.7-8.2*2.1-3.05*1.7)*D539</f>
        <v>20.239999999999998</v>
      </c>
      <c r="I539" s="88">
        <f>(45.78*2.7-8.2*2.1-3.05*1.7)*D539</f>
        <v>20.239999999999998</v>
      </c>
      <c r="J539" s="88">
        <f>((58-2)*2.7-11.99*2.1-1.37*1.7)*D539</f>
        <v>24.74</v>
      </c>
      <c r="K539" s="88"/>
      <c r="L539" s="88"/>
      <c r="M539" s="88"/>
      <c r="N539" s="29"/>
      <c r="O539" s="29"/>
      <c r="P539" s="49" t="str">
        <f>VLOOKUP(B539,'Форма КП'!$B$27:$G$49,5,FALSE)</f>
        <v>Материал заказчика</v>
      </c>
      <c r="Q539" s="50"/>
      <c r="R539" s="49" t="str">
        <f t="shared" si="317"/>
        <v>Материал заказчика</v>
      </c>
      <c r="S539" s="50"/>
    </row>
    <row r="540" spans="1:19" x14ac:dyDescent="0.25">
      <c r="A540" s="132" t="s">
        <v>698</v>
      </c>
      <c r="B540" s="128" t="s">
        <v>511</v>
      </c>
      <c r="C540" s="133" t="s">
        <v>512</v>
      </c>
      <c r="D540" s="90">
        <v>16</v>
      </c>
      <c r="E540" s="132" t="s">
        <v>228</v>
      </c>
      <c r="F540" s="134">
        <f t="shared" si="312"/>
        <v>7259.2</v>
      </c>
      <c r="G540" s="88">
        <f>G537*D540</f>
        <v>2214.56</v>
      </c>
      <c r="H540" s="88">
        <f>H537*D540</f>
        <v>1532.8</v>
      </c>
      <c r="I540" s="88">
        <f>I537*D540</f>
        <v>1532.8</v>
      </c>
      <c r="J540" s="88">
        <f>J537*D540</f>
        <v>1979.04</v>
      </c>
      <c r="K540" s="88"/>
      <c r="L540" s="88"/>
      <c r="M540" s="88"/>
      <c r="N540" s="29"/>
      <c r="O540" s="29"/>
      <c r="P540" s="49" t="str">
        <f>VLOOKUP(B540,'Форма КП'!$B$27:$G$49,5,FALSE)</f>
        <v>Материал заказчика</v>
      </c>
      <c r="Q540" s="50"/>
      <c r="R540" s="49" t="str">
        <f t="shared" si="317"/>
        <v>Материал заказчика</v>
      </c>
      <c r="S540" s="50"/>
    </row>
    <row r="541" spans="1:19" ht="216" x14ac:dyDescent="0.25">
      <c r="A541" s="127" t="s">
        <v>699</v>
      </c>
      <c r="B541" s="128" t="s">
        <v>510</v>
      </c>
      <c r="C541" s="129" t="s">
        <v>776</v>
      </c>
      <c r="D541" s="130"/>
      <c r="E541" s="127" t="s">
        <v>224</v>
      </c>
      <c r="F541" s="131">
        <f t="shared" si="312"/>
        <v>111.48</v>
      </c>
      <c r="G541" s="113">
        <f>12.7*2.7-2*2.1</f>
        <v>30.09</v>
      </c>
      <c r="H541" s="113">
        <f>10.8*2.7-2*2.1</f>
        <v>24.96</v>
      </c>
      <c r="I541" s="113">
        <f>10.8*2.7-2*2.1</f>
        <v>24.96</v>
      </c>
      <c r="J541" s="113">
        <f>13.21*2.7-2*2.1</f>
        <v>31.47</v>
      </c>
      <c r="K541" s="113"/>
      <c r="L541" s="113"/>
      <c r="M541" s="113"/>
      <c r="N541" s="104">
        <f>VLOOKUP(B541,'Форма КП'!$B$17:$G$25,5,FALSE)</f>
        <v>0</v>
      </c>
      <c r="O541" s="104">
        <f>N541*F541</f>
        <v>0</v>
      </c>
      <c r="P541" s="104"/>
      <c r="Q541" s="104"/>
      <c r="R541" s="104">
        <f>N541</f>
        <v>0</v>
      </c>
      <c r="S541" s="104">
        <f>N541*F541</f>
        <v>0</v>
      </c>
    </row>
    <row r="542" spans="1:19" x14ac:dyDescent="0.25">
      <c r="A542" s="132" t="s">
        <v>700</v>
      </c>
      <c r="B542" s="128" t="s">
        <v>486</v>
      </c>
      <c r="C542" s="133" t="s">
        <v>487</v>
      </c>
      <c r="D542" s="90">
        <v>1.45</v>
      </c>
      <c r="E542" s="132" t="s">
        <v>6</v>
      </c>
      <c r="F542" s="134">
        <f t="shared" si="312"/>
        <v>161.63999999999999</v>
      </c>
      <c r="G542" s="88">
        <f>G541*D542</f>
        <v>43.63</v>
      </c>
      <c r="H542" s="88">
        <f>H541*D542</f>
        <v>36.19</v>
      </c>
      <c r="I542" s="88">
        <f>I541*D542</f>
        <v>36.19</v>
      </c>
      <c r="J542" s="88">
        <f>J541*D542</f>
        <v>45.63</v>
      </c>
      <c r="K542" s="88"/>
      <c r="L542" s="88"/>
      <c r="M542" s="88"/>
      <c r="N542" s="29"/>
      <c r="O542" s="29"/>
      <c r="P542" s="86">
        <f>VLOOKUP(B542,'Форма КП'!$B$27:$G$49,5,FALSE)</f>
        <v>0</v>
      </c>
      <c r="Q542" s="86">
        <f t="shared" ref="Q542" si="319">P542*F542</f>
        <v>0</v>
      </c>
      <c r="R542" s="32">
        <f t="shared" ref="R542:R544" si="320">P542</f>
        <v>0</v>
      </c>
      <c r="S542" s="32">
        <f t="shared" ref="S542" si="321">P542*F542</f>
        <v>0</v>
      </c>
    </row>
    <row r="543" spans="1:19" x14ac:dyDescent="0.25">
      <c r="A543" s="132" t="s">
        <v>701</v>
      </c>
      <c r="B543" s="128" t="s">
        <v>484</v>
      </c>
      <c r="C543" s="133" t="s">
        <v>225</v>
      </c>
      <c r="D543" s="90">
        <v>0.4</v>
      </c>
      <c r="E543" s="132" t="s">
        <v>226</v>
      </c>
      <c r="F543" s="134">
        <f t="shared" si="312"/>
        <v>44.59</v>
      </c>
      <c r="G543" s="88">
        <f>(12.7*2.7-2*2.1)*D543</f>
        <v>12.04</v>
      </c>
      <c r="H543" s="88">
        <f>(10.8*2.7-2*2.1)*D543</f>
        <v>9.98</v>
      </c>
      <c r="I543" s="88">
        <f>(10.8*2.7-2*2.1)*D543</f>
        <v>9.98</v>
      </c>
      <c r="J543" s="88">
        <f>(13.21*2.7-2*2.1)*D543</f>
        <v>12.59</v>
      </c>
      <c r="K543" s="88"/>
      <c r="L543" s="88"/>
      <c r="M543" s="88"/>
      <c r="N543" s="29"/>
      <c r="O543" s="29"/>
      <c r="P543" s="49" t="str">
        <f>VLOOKUP(B543,'Форма КП'!$B$27:$G$49,5,FALSE)</f>
        <v>Материал заказчика</v>
      </c>
      <c r="Q543" s="50"/>
      <c r="R543" s="49" t="str">
        <f t="shared" si="320"/>
        <v>Материал заказчика</v>
      </c>
      <c r="S543" s="50"/>
    </row>
    <row r="544" spans="1:19" x14ac:dyDescent="0.25">
      <c r="A544" s="132" t="s">
        <v>702</v>
      </c>
      <c r="B544" s="128" t="s">
        <v>511</v>
      </c>
      <c r="C544" s="133" t="s">
        <v>512</v>
      </c>
      <c r="D544" s="90">
        <v>16</v>
      </c>
      <c r="E544" s="132" t="s">
        <v>228</v>
      </c>
      <c r="F544" s="134">
        <f t="shared" si="312"/>
        <v>1783.68</v>
      </c>
      <c r="G544" s="88">
        <f>G541*D544</f>
        <v>481.44</v>
      </c>
      <c r="H544" s="88">
        <f>H541*D544</f>
        <v>399.36</v>
      </c>
      <c r="I544" s="88">
        <f>I541*D544</f>
        <v>399.36</v>
      </c>
      <c r="J544" s="88">
        <f>J541*D544</f>
        <v>503.52</v>
      </c>
      <c r="K544" s="88"/>
      <c r="L544" s="88"/>
      <c r="M544" s="88"/>
      <c r="N544" s="29"/>
      <c r="O544" s="29"/>
      <c r="P544" s="49" t="str">
        <f>VLOOKUP(B544,'Форма КП'!$B$27:$G$49,5,FALSE)</f>
        <v>Материал заказчика</v>
      </c>
      <c r="Q544" s="50"/>
      <c r="R544" s="49" t="str">
        <f t="shared" si="320"/>
        <v>Материал заказчика</v>
      </c>
      <c r="S544" s="50"/>
    </row>
    <row r="545" spans="1:19" ht="120" x14ac:dyDescent="0.25">
      <c r="A545" s="127" t="s">
        <v>703</v>
      </c>
      <c r="B545" s="128" t="s">
        <v>513</v>
      </c>
      <c r="C545" s="129" t="s">
        <v>777</v>
      </c>
      <c r="D545" s="130"/>
      <c r="E545" s="127" t="s">
        <v>224</v>
      </c>
      <c r="F545" s="131">
        <f t="shared" si="312"/>
        <v>398.93</v>
      </c>
      <c r="G545" s="115">
        <f>(59.41-2)*2.7-13.69*2.1</f>
        <v>126.26</v>
      </c>
      <c r="H545" s="115">
        <f>(39.06-2)*2.7-8.9*2.1-1.37*1.7</f>
        <v>79.040000000000006</v>
      </c>
      <c r="I545" s="115">
        <f>(39.06-2)*2.7-8.9*2.1-1.37*1.7</f>
        <v>79.040000000000006</v>
      </c>
      <c r="J545" s="115">
        <f>52.31*2.7-12.69*2.1</f>
        <v>114.59</v>
      </c>
      <c r="K545" s="115"/>
      <c r="L545" s="115"/>
      <c r="M545" s="115"/>
      <c r="N545" s="104">
        <f>VLOOKUP(B545,'Форма КП'!$B$17:$G$25,5,FALSE)</f>
        <v>0</v>
      </c>
      <c r="O545" s="104">
        <f>N545*F545</f>
        <v>0</v>
      </c>
      <c r="P545" s="104"/>
      <c r="Q545" s="104"/>
      <c r="R545" s="104">
        <f>N545</f>
        <v>0</v>
      </c>
      <c r="S545" s="104">
        <f>N545*F545</f>
        <v>0</v>
      </c>
    </row>
    <row r="546" spans="1:19" x14ac:dyDescent="0.25">
      <c r="A546" s="132" t="s">
        <v>704</v>
      </c>
      <c r="B546" s="128" t="s">
        <v>484</v>
      </c>
      <c r="C546" s="133" t="s">
        <v>225</v>
      </c>
      <c r="D546" s="90">
        <v>0.15</v>
      </c>
      <c r="E546" s="132" t="s">
        <v>226</v>
      </c>
      <c r="F546" s="134">
        <f t="shared" si="312"/>
        <v>59.85</v>
      </c>
      <c r="G546" s="88">
        <f>G545*D546</f>
        <v>18.940000000000001</v>
      </c>
      <c r="H546" s="88">
        <f>H545*D546</f>
        <v>11.86</v>
      </c>
      <c r="I546" s="88">
        <f>I545*D546</f>
        <v>11.86</v>
      </c>
      <c r="J546" s="88">
        <f>J545*D546</f>
        <v>17.190000000000001</v>
      </c>
      <c r="K546" s="88"/>
      <c r="L546" s="88"/>
      <c r="M546" s="88"/>
      <c r="N546" s="29"/>
      <c r="O546" s="29"/>
      <c r="P546" s="49" t="str">
        <f>VLOOKUP(B546,'Форма КП'!$B$27:$G$49,5,FALSE)</f>
        <v>Материал заказчика</v>
      </c>
      <c r="Q546" s="50"/>
      <c r="R546" s="49" t="str">
        <f t="shared" ref="R546:R547" si="322">P546</f>
        <v>Материал заказчика</v>
      </c>
      <c r="S546" s="50"/>
    </row>
    <row r="547" spans="1:19" x14ac:dyDescent="0.25">
      <c r="A547" s="132" t="s">
        <v>705</v>
      </c>
      <c r="B547" s="128" t="s">
        <v>514</v>
      </c>
      <c r="C547" s="133" t="s">
        <v>515</v>
      </c>
      <c r="D547" s="90">
        <v>5</v>
      </c>
      <c r="E547" s="132" t="s">
        <v>228</v>
      </c>
      <c r="F547" s="134">
        <f t="shared" si="312"/>
        <v>1994.65</v>
      </c>
      <c r="G547" s="88">
        <f>G545*D547</f>
        <v>631.29999999999995</v>
      </c>
      <c r="H547" s="88">
        <f>H545*D547</f>
        <v>395.2</v>
      </c>
      <c r="I547" s="88">
        <f>I545*D547</f>
        <v>395.2</v>
      </c>
      <c r="J547" s="88">
        <f>J545*D547</f>
        <v>572.95000000000005</v>
      </c>
      <c r="K547" s="88"/>
      <c r="L547" s="88"/>
      <c r="M547" s="88"/>
      <c r="N547" s="29"/>
      <c r="O547" s="29"/>
      <c r="P547" s="49" t="str">
        <f>VLOOKUP(B547,'Форма КП'!$B$27:$G$49,5,FALSE)</f>
        <v>Материал заказчика</v>
      </c>
      <c r="Q547" s="50"/>
      <c r="R547" s="49" t="str">
        <f t="shared" si="322"/>
        <v>Материал заказчика</v>
      </c>
      <c r="S547" s="50"/>
    </row>
    <row r="548" spans="1:19" ht="156" x14ac:dyDescent="0.25">
      <c r="A548" s="127" t="s">
        <v>706</v>
      </c>
      <c r="B548" s="128" t="s">
        <v>493</v>
      </c>
      <c r="C548" s="129" t="s">
        <v>780</v>
      </c>
      <c r="D548" s="130"/>
      <c r="E548" s="127" t="s">
        <v>224</v>
      </c>
      <c r="F548" s="131">
        <f t="shared" si="312"/>
        <v>8.4</v>
      </c>
      <c r="G548" s="112">
        <f>0.2*2*6</f>
        <v>2.4</v>
      </c>
      <c r="H548" s="112">
        <f t="shared" ref="H548:J548" si="323">0.2*2*5</f>
        <v>2</v>
      </c>
      <c r="I548" s="112">
        <f t="shared" si="323"/>
        <v>2</v>
      </c>
      <c r="J548" s="112">
        <f t="shared" si="323"/>
        <v>2</v>
      </c>
      <c r="K548" s="112"/>
      <c r="L548" s="112"/>
      <c r="M548" s="112"/>
      <c r="N548" s="104">
        <f>VLOOKUP(B548,'Форма КП'!$B$17:$G$25,5,FALSE)</f>
        <v>0</v>
      </c>
      <c r="O548" s="104">
        <f>N548*F548</f>
        <v>0</v>
      </c>
      <c r="P548" s="104"/>
      <c r="Q548" s="104"/>
      <c r="R548" s="104">
        <f>N548</f>
        <v>0</v>
      </c>
      <c r="S548" s="104">
        <f>N548*F548</f>
        <v>0</v>
      </c>
    </row>
    <row r="549" spans="1:19" x14ac:dyDescent="0.25">
      <c r="A549" s="132" t="s">
        <v>707</v>
      </c>
      <c r="B549" s="128" t="s">
        <v>484</v>
      </c>
      <c r="C549" s="133" t="s">
        <v>225</v>
      </c>
      <c r="D549" s="90">
        <v>0.15</v>
      </c>
      <c r="E549" s="132" t="s">
        <v>226</v>
      </c>
      <c r="F549" s="134">
        <f t="shared" si="312"/>
        <v>1.26</v>
      </c>
      <c r="G549" s="88">
        <f>G548*D549</f>
        <v>0.36</v>
      </c>
      <c r="H549" s="88">
        <f>H548*D549</f>
        <v>0.3</v>
      </c>
      <c r="I549" s="88">
        <f>I548*D549</f>
        <v>0.3</v>
      </c>
      <c r="J549" s="88">
        <f>J548*D549</f>
        <v>0.3</v>
      </c>
      <c r="K549" s="88"/>
      <c r="L549" s="88"/>
      <c r="M549" s="88"/>
      <c r="N549" s="29"/>
      <c r="O549" s="29"/>
      <c r="P549" s="49" t="str">
        <f>VLOOKUP(B549,'Форма КП'!$B$27:$G$49,5,FALSE)</f>
        <v>Материал заказчика</v>
      </c>
      <c r="Q549" s="50"/>
      <c r="R549" s="49" t="str">
        <f t="shared" ref="R549:R552" si="324">P549</f>
        <v>Материал заказчика</v>
      </c>
      <c r="S549" s="50"/>
    </row>
    <row r="550" spans="1:19" x14ac:dyDescent="0.25">
      <c r="A550" s="132" t="s">
        <v>708</v>
      </c>
      <c r="B550" s="128" t="s">
        <v>496</v>
      </c>
      <c r="C550" s="133" t="s">
        <v>227</v>
      </c>
      <c r="D550" s="90">
        <v>10</v>
      </c>
      <c r="E550" s="132" t="s">
        <v>228</v>
      </c>
      <c r="F550" s="134">
        <f t="shared" si="312"/>
        <v>84</v>
      </c>
      <c r="G550" s="88">
        <f>G548*D550</f>
        <v>24</v>
      </c>
      <c r="H550" s="88">
        <f>H548*D550</f>
        <v>20</v>
      </c>
      <c r="I550" s="88">
        <f>I548*D550</f>
        <v>20</v>
      </c>
      <c r="J550" s="88">
        <f>J548*D550</f>
        <v>20</v>
      </c>
      <c r="K550" s="88"/>
      <c r="L550" s="88"/>
      <c r="M550" s="88"/>
      <c r="N550" s="29"/>
      <c r="O550" s="29"/>
      <c r="P550" s="49" t="str">
        <f>VLOOKUP(B550,'Форма КП'!$B$27:$G$49,5,FALSE)</f>
        <v>Материал заказчика</v>
      </c>
      <c r="Q550" s="50"/>
      <c r="R550" s="49" t="str">
        <f t="shared" si="324"/>
        <v>Материал заказчика</v>
      </c>
      <c r="S550" s="50"/>
    </row>
    <row r="551" spans="1:19" x14ac:dyDescent="0.25">
      <c r="A551" s="132" t="s">
        <v>709</v>
      </c>
      <c r="B551" s="128" t="s">
        <v>523</v>
      </c>
      <c r="C551" s="133" t="s">
        <v>229</v>
      </c>
      <c r="D551" s="90">
        <v>0.2</v>
      </c>
      <c r="E551" s="132" t="s">
        <v>228</v>
      </c>
      <c r="F551" s="134">
        <f t="shared" si="312"/>
        <v>1.68</v>
      </c>
      <c r="G551" s="88">
        <f>G548*D551</f>
        <v>0.48</v>
      </c>
      <c r="H551" s="88">
        <f>H548*D551</f>
        <v>0.4</v>
      </c>
      <c r="I551" s="88">
        <f>I548*D551</f>
        <v>0.4</v>
      </c>
      <c r="J551" s="88">
        <f>J548*D551</f>
        <v>0.4</v>
      </c>
      <c r="K551" s="88"/>
      <c r="L551" s="88"/>
      <c r="M551" s="88"/>
      <c r="N551" s="29"/>
      <c r="O551" s="29"/>
      <c r="P551" s="49" t="str">
        <f>VLOOKUP(B551,'Форма КП'!$B$27:$G$49,5,FALSE)</f>
        <v>Материал заказчика</v>
      </c>
      <c r="Q551" s="50"/>
      <c r="R551" s="49" t="str">
        <f t="shared" si="324"/>
        <v>Материал заказчика</v>
      </c>
      <c r="S551" s="50"/>
    </row>
    <row r="552" spans="1:19" x14ac:dyDescent="0.25">
      <c r="A552" s="132" t="s">
        <v>710</v>
      </c>
      <c r="B552" s="128" t="s">
        <v>501</v>
      </c>
      <c r="C552" s="133" t="s">
        <v>502</v>
      </c>
      <c r="D552" s="90">
        <v>1.05</v>
      </c>
      <c r="E552" s="132" t="s">
        <v>224</v>
      </c>
      <c r="F552" s="134">
        <f t="shared" si="312"/>
        <v>8.82</v>
      </c>
      <c r="G552" s="88">
        <f>G548*D552</f>
        <v>2.52</v>
      </c>
      <c r="H552" s="88">
        <f>H548*D552</f>
        <v>2.1</v>
      </c>
      <c r="I552" s="88">
        <f>I548*D552</f>
        <v>2.1</v>
      </c>
      <c r="J552" s="88">
        <f>J548*D552</f>
        <v>2.1</v>
      </c>
      <c r="K552" s="88"/>
      <c r="L552" s="88"/>
      <c r="M552" s="88"/>
      <c r="N552" s="29"/>
      <c r="O552" s="29"/>
      <c r="P552" s="49" t="str">
        <f>VLOOKUP(B552,'Форма КП'!$B$27:$G$49,5,FALSE)</f>
        <v>Материал заказчика</v>
      </c>
      <c r="Q552" s="50"/>
      <c r="R552" s="49" t="str">
        <f t="shared" si="324"/>
        <v>Материал заказчика</v>
      </c>
      <c r="S552" s="50"/>
    </row>
    <row r="553" spans="1:19" ht="108" x14ac:dyDescent="0.25">
      <c r="A553" s="127" t="s">
        <v>711</v>
      </c>
      <c r="B553" s="128" t="s">
        <v>505</v>
      </c>
      <c r="C553" s="129" t="s">
        <v>779</v>
      </c>
      <c r="D553" s="130"/>
      <c r="E553" s="127" t="s">
        <v>224</v>
      </c>
      <c r="F553" s="131">
        <f t="shared" si="312"/>
        <v>141.71</v>
      </c>
      <c r="G553" s="113">
        <v>35.69</v>
      </c>
      <c r="H553" s="113">
        <v>35.18</v>
      </c>
      <c r="I553" s="113">
        <v>35.18</v>
      </c>
      <c r="J553" s="113">
        <v>35.659999999999997</v>
      </c>
      <c r="K553" s="113"/>
      <c r="L553" s="113"/>
      <c r="M553" s="113"/>
      <c r="N553" s="104">
        <f>VLOOKUP(B553,'Форма КП'!$B$17:$G$25,5,FALSE)</f>
        <v>0</v>
      </c>
      <c r="O553" s="104">
        <f>N553*F553</f>
        <v>0</v>
      </c>
      <c r="P553" s="104"/>
      <c r="Q553" s="104"/>
      <c r="R553" s="104">
        <f>N553</f>
        <v>0</v>
      </c>
      <c r="S553" s="104">
        <f>N553*F553</f>
        <v>0</v>
      </c>
    </row>
    <row r="554" spans="1:19" x14ac:dyDescent="0.25">
      <c r="A554" s="132" t="s">
        <v>712</v>
      </c>
      <c r="B554" s="128" t="s">
        <v>484</v>
      </c>
      <c r="C554" s="133" t="s">
        <v>225</v>
      </c>
      <c r="D554" s="90">
        <v>0.15</v>
      </c>
      <c r="E554" s="132" t="s">
        <v>226</v>
      </c>
      <c r="F554" s="134">
        <f t="shared" si="312"/>
        <v>21.26</v>
      </c>
      <c r="G554" s="88">
        <f>G553*D554</f>
        <v>5.35</v>
      </c>
      <c r="H554" s="88">
        <f>H553*D554</f>
        <v>5.28</v>
      </c>
      <c r="I554" s="88">
        <f>I553*D554</f>
        <v>5.28</v>
      </c>
      <c r="J554" s="88">
        <f>J553*D554</f>
        <v>5.35</v>
      </c>
      <c r="K554" s="88"/>
      <c r="L554" s="88"/>
      <c r="M554" s="88"/>
      <c r="N554" s="29"/>
      <c r="O554" s="29"/>
      <c r="P554" s="49" t="str">
        <f>VLOOKUP(B554,'Форма КП'!$B$27:$G$49,5,FALSE)</f>
        <v>Материал заказчика</v>
      </c>
      <c r="Q554" s="50"/>
      <c r="R554" s="49" t="str">
        <f t="shared" ref="R554:R555" si="325">P554</f>
        <v>Материал заказчика</v>
      </c>
      <c r="S554" s="50"/>
    </row>
    <row r="555" spans="1:19" ht="24" x14ac:dyDescent="0.25">
      <c r="A555" s="132" t="s">
        <v>713</v>
      </c>
      <c r="B555" s="128" t="s">
        <v>506</v>
      </c>
      <c r="C555" s="133" t="s">
        <v>507</v>
      </c>
      <c r="D555" s="90">
        <v>0.25</v>
      </c>
      <c r="E555" s="132" t="s">
        <v>226</v>
      </c>
      <c r="F555" s="134">
        <f t="shared" si="312"/>
        <v>35.44</v>
      </c>
      <c r="G555" s="88">
        <f>G553*D555</f>
        <v>8.92</v>
      </c>
      <c r="H555" s="88">
        <f>H553*D555</f>
        <v>8.8000000000000007</v>
      </c>
      <c r="I555" s="88">
        <f>I553*D555</f>
        <v>8.8000000000000007</v>
      </c>
      <c r="J555" s="88">
        <f>J553*D555</f>
        <v>8.92</v>
      </c>
      <c r="K555" s="88"/>
      <c r="L555" s="88"/>
      <c r="M555" s="88"/>
      <c r="N555" s="29"/>
      <c r="O555" s="29"/>
      <c r="P555" s="49" t="str">
        <f>VLOOKUP(B555,'Форма КП'!$B$27:$G$49,5,FALSE)</f>
        <v>Материал заказчика</v>
      </c>
      <c r="Q555" s="50"/>
      <c r="R555" s="49" t="str">
        <f t="shared" si="325"/>
        <v>Материал заказчика</v>
      </c>
      <c r="S555" s="50"/>
    </row>
    <row r="556" spans="1:19" ht="108" x14ac:dyDescent="0.25">
      <c r="A556" s="127" t="s">
        <v>714</v>
      </c>
      <c r="B556" s="128" t="s">
        <v>505</v>
      </c>
      <c r="C556" s="129" t="s">
        <v>779</v>
      </c>
      <c r="D556" s="130"/>
      <c r="E556" s="127" t="s">
        <v>224</v>
      </c>
      <c r="F556" s="131">
        <f t="shared" si="312"/>
        <v>26.24</v>
      </c>
      <c r="G556" s="113">
        <f t="shared" ref="G556:J556" si="326">2.43*2.7</f>
        <v>6.56</v>
      </c>
      <c r="H556" s="113">
        <f t="shared" si="326"/>
        <v>6.56</v>
      </c>
      <c r="I556" s="113">
        <f t="shared" si="326"/>
        <v>6.56</v>
      </c>
      <c r="J556" s="113">
        <f t="shared" si="326"/>
        <v>6.56</v>
      </c>
      <c r="K556" s="113"/>
      <c r="L556" s="113"/>
      <c r="M556" s="113"/>
      <c r="N556" s="104">
        <f>VLOOKUP(B556,'Форма КП'!$B$17:$G$25,5,FALSE)</f>
        <v>0</v>
      </c>
      <c r="O556" s="104">
        <f>N556*F556</f>
        <v>0</v>
      </c>
      <c r="P556" s="104"/>
      <c r="Q556" s="104"/>
      <c r="R556" s="104">
        <f>N556</f>
        <v>0</v>
      </c>
      <c r="S556" s="104">
        <f>N556*F556</f>
        <v>0</v>
      </c>
    </row>
    <row r="557" spans="1:19" x14ac:dyDescent="0.25">
      <c r="A557" s="132" t="s">
        <v>715</v>
      </c>
      <c r="B557" s="128" t="s">
        <v>484</v>
      </c>
      <c r="C557" s="133" t="s">
        <v>225</v>
      </c>
      <c r="D557" s="90">
        <v>0.15</v>
      </c>
      <c r="E557" s="132" t="s">
        <v>226</v>
      </c>
      <c r="F557" s="134">
        <f t="shared" si="312"/>
        <v>3.92</v>
      </c>
      <c r="G557" s="88">
        <f>G556*D557</f>
        <v>0.98</v>
      </c>
      <c r="H557" s="88">
        <f>H556*D557</f>
        <v>0.98</v>
      </c>
      <c r="I557" s="88">
        <f>I556*D557</f>
        <v>0.98</v>
      </c>
      <c r="J557" s="88">
        <f>J556*D557</f>
        <v>0.98</v>
      </c>
      <c r="K557" s="88"/>
      <c r="L557" s="88"/>
      <c r="M557" s="88"/>
      <c r="N557" s="29"/>
      <c r="O557" s="29"/>
      <c r="P557" s="49" t="str">
        <f>VLOOKUP(B557,'Форма КП'!$B$27:$G$49,5,FALSE)</f>
        <v>Материал заказчика</v>
      </c>
      <c r="Q557" s="50"/>
      <c r="R557" s="49" t="str">
        <f t="shared" ref="R557:R558" si="327">P557</f>
        <v>Материал заказчика</v>
      </c>
      <c r="S557" s="50"/>
    </row>
    <row r="558" spans="1:19" ht="24" x14ac:dyDescent="0.25">
      <c r="A558" s="132" t="s">
        <v>716</v>
      </c>
      <c r="B558" s="128" t="s">
        <v>508</v>
      </c>
      <c r="C558" s="133" t="s">
        <v>509</v>
      </c>
      <c r="D558" s="90">
        <v>0.25</v>
      </c>
      <c r="E558" s="132" t="s">
        <v>226</v>
      </c>
      <c r="F558" s="134">
        <f t="shared" si="312"/>
        <v>6.56</v>
      </c>
      <c r="G558" s="88">
        <f>G556*D558</f>
        <v>1.64</v>
      </c>
      <c r="H558" s="88">
        <f>H556*D558</f>
        <v>1.64</v>
      </c>
      <c r="I558" s="88">
        <f>I556*D558</f>
        <v>1.64</v>
      </c>
      <c r="J558" s="88">
        <f>J556*D558</f>
        <v>1.64</v>
      </c>
      <c r="K558" s="88"/>
      <c r="L558" s="88"/>
      <c r="M558" s="88"/>
      <c r="N558" s="29"/>
      <c r="O558" s="29"/>
      <c r="P558" s="49" t="str">
        <f>VLOOKUP(B558,'Форма КП'!$B$27:$G$49,5,FALSE)</f>
        <v>Материал заказчика</v>
      </c>
      <c r="Q558" s="50"/>
      <c r="R558" s="49" t="str">
        <f t="shared" si="327"/>
        <v>Материал заказчика</v>
      </c>
      <c r="S558" s="50"/>
    </row>
    <row r="559" spans="1:19" x14ac:dyDescent="0.25">
      <c r="A559" s="126" t="s">
        <v>232</v>
      </c>
      <c r="B559" s="120"/>
      <c r="C559" s="121"/>
      <c r="D559" s="122"/>
      <c r="E559" s="123"/>
      <c r="F559" s="124"/>
      <c r="G559" s="125"/>
      <c r="H559" s="125"/>
      <c r="I559" s="125"/>
      <c r="J559" s="125"/>
      <c r="K559" s="125"/>
      <c r="L559" s="125"/>
      <c r="M559" s="125"/>
      <c r="N559" s="33"/>
      <c r="O559" s="33"/>
      <c r="P559" s="33"/>
      <c r="Q559" s="33"/>
      <c r="R559" s="33"/>
      <c r="S559" s="31"/>
    </row>
    <row r="560" spans="1:19" ht="216" x14ac:dyDescent="0.25">
      <c r="A560" s="127" t="s">
        <v>717</v>
      </c>
      <c r="B560" s="128" t="s">
        <v>510</v>
      </c>
      <c r="C560" s="129" t="s">
        <v>776</v>
      </c>
      <c r="D560" s="130"/>
      <c r="E560" s="127" t="s">
        <v>224</v>
      </c>
      <c r="F560" s="131">
        <f t="shared" ref="F560:F574" si="328">SUM(G560:M560)</f>
        <v>1465.51</v>
      </c>
      <c r="G560" s="113">
        <f>117.7*2.78+7.6*0.68+14.6*1.2+11.8*0.5+3.6*0.48</f>
        <v>357.52</v>
      </c>
      <c r="H560" s="113">
        <f>116.62*2.78+3*0.68+9.8*0.5+11.8*1.2+7.4*0.48</f>
        <v>348.86</v>
      </c>
      <c r="I560" s="113">
        <f>116.62*2.78+3*0.68+9.8*0.5+11.8*1.2+7.4*0.48</f>
        <v>348.86</v>
      </c>
      <c r="J560" s="113">
        <f>135.76*2.78+9.6*0.5+16.5*1.2+9.6*0.68+3.6*0.48</f>
        <v>410.27</v>
      </c>
      <c r="K560" s="116"/>
      <c r="L560" s="116"/>
      <c r="M560" s="116"/>
      <c r="N560" s="104">
        <f>VLOOKUP(B560,'Форма КП'!$B$17:$G$25,5,FALSE)</f>
        <v>0</v>
      </c>
      <c r="O560" s="104">
        <f>N560*F560</f>
        <v>0</v>
      </c>
      <c r="P560" s="104"/>
      <c r="Q560" s="104"/>
      <c r="R560" s="104">
        <f>N560</f>
        <v>0</v>
      </c>
      <c r="S560" s="104">
        <f>N560*F560</f>
        <v>0</v>
      </c>
    </row>
    <row r="561" spans="1:19" x14ac:dyDescent="0.25">
      <c r="A561" s="132" t="s">
        <v>718</v>
      </c>
      <c r="B561" s="128" t="s">
        <v>486</v>
      </c>
      <c r="C561" s="133" t="s">
        <v>487</v>
      </c>
      <c r="D561" s="90">
        <v>1.45</v>
      </c>
      <c r="E561" s="132" t="s">
        <v>6</v>
      </c>
      <c r="F561" s="134">
        <f t="shared" si="328"/>
        <v>2124.9899999999998</v>
      </c>
      <c r="G561" s="88">
        <f>G560*D561</f>
        <v>518.4</v>
      </c>
      <c r="H561" s="88">
        <f>H560*D561</f>
        <v>505.85</v>
      </c>
      <c r="I561" s="88">
        <f>I560*D561</f>
        <v>505.85</v>
      </c>
      <c r="J561" s="88">
        <f>J560*D561</f>
        <v>594.89</v>
      </c>
      <c r="K561" s="106"/>
      <c r="L561" s="106"/>
      <c r="M561" s="106"/>
      <c r="N561" s="29"/>
      <c r="O561" s="29"/>
      <c r="P561" s="86">
        <f>VLOOKUP(B561,'Форма КП'!$B$27:$G$49,5,FALSE)</f>
        <v>0</v>
      </c>
      <c r="Q561" s="86">
        <f t="shared" ref="Q561" si="329">P561*F561</f>
        <v>0</v>
      </c>
      <c r="R561" s="32">
        <f t="shared" ref="R561:R563" si="330">P561</f>
        <v>0</v>
      </c>
      <c r="S561" s="32">
        <f t="shared" ref="S561" si="331">P561*F561</f>
        <v>0</v>
      </c>
    </row>
    <row r="562" spans="1:19" x14ac:dyDescent="0.25">
      <c r="A562" s="132" t="s">
        <v>719</v>
      </c>
      <c r="B562" s="128" t="s">
        <v>488</v>
      </c>
      <c r="C562" s="133" t="s">
        <v>489</v>
      </c>
      <c r="D562" s="90">
        <v>0.2</v>
      </c>
      <c r="E562" s="132" t="s">
        <v>228</v>
      </c>
      <c r="F562" s="134">
        <f t="shared" si="328"/>
        <v>293.08999999999997</v>
      </c>
      <c r="G562" s="88">
        <f>G560*D562</f>
        <v>71.5</v>
      </c>
      <c r="H562" s="88">
        <f>H560*D562</f>
        <v>69.77</v>
      </c>
      <c r="I562" s="88">
        <f>I560*D562</f>
        <v>69.77</v>
      </c>
      <c r="J562" s="88">
        <f>J560*D562</f>
        <v>82.05</v>
      </c>
      <c r="K562" s="106"/>
      <c r="L562" s="106"/>
      <c r="M562" s="106"/>
      <c r="N562" s="29"/>
      <c r="O562" s="29"/>
      <c r="P562" s="49" t="str">
        <f>VLOOKUP(B562,'Форма КП'!$B$27:$G$49,5,FALSE)</f>
        <v>Материал заказчика</v>
      </c>
      <c r="Q562" s="50"/>
      <c r="R562" s="49" t="str">
        <f t="shared" si="330"/>
        <v>Материал заказчика</v>
      </c>
      <c r="S562" s="50"/>
    </row>
    <row r="563" spans="1:19" x14ac:dyDescent="0.25">
      <c r="A563" s="132" t="s">
        <v>720</v>
      </c>
      <c r="B563" s="128" t="s">
        <v>511</v>
      </c>
      <c r="C563" s="133" t="s">
        <v>512</v>
      </c>
      <c r="D563" s="90">
        <v>16</v>
      </c>
      <c r="E563" s="132" t="s">
        <v>228</v>
      </c>
      <c r="F563" s="134">
        <f t="shared" si="328"/>
        <v>23448.16</v>
      </c>
      <c r="G563" s="88">
        <f>G560*D563</f>
        <v>5720.32</v>
      </c>
      <c r="H563" s="88">
        <f>H560*D563</f>
        <v>5581.76</v>
      </c>
      <c r="I563" s="88">
        <f>I560*D563</f>
        <v>5581.76</v>
      </c>
      <c r="J563" s="88">
        <f>J560*D563</f>
        <v>6564.32</v>
      </c>
      <c r="K563" s="106"/>
      <c r="L563" s="106"/>
      <c r="M563" s="106"/>
      <c r="N563" s="29"/>
      <c r="O563" s="29"/>
      <c r="P563" s="49" t="str">
        <f>VLOOKUP(B563,'Форма КП'!$B$27:$G$49,5,FALSE)</f>
        <v>Материал заказчика</v>
      </c>
      <c r="Q563" s="50"/>
      <c r="R563" s="49" t="str">
        <f t="shared" si="330"/>
        <v>Материал заказчика</v>
      </c>
      <c r="S563" s="50"/>
    </row>
    <row r="564" spans="1:19" ht="216" x14ac:dyDescent="0.25">
      <c r="A564" s="127" t="s">
        <v>721</v>
      </c>
      <c r="B564" s="128" t="s">
        <v>510</v>
      </c>
      <c r="C564" s="129" t="s">
        <v>776</v>
      </c>
      <c r="D564" s="130"/>
      <c r="E564" s="127" t="s">
        <v>224</v>
      </c>
      <c r="F564" s="131">
        <f t="shared" si="328"/>
        <v>1374.09</v>
      </c>
      <c r="G564" s="113">
        <f>130*2.78+21.6*0.68</f>
        <v>376.09</v>
      </c>
      <c r="H564" s="113">
        <f>111.56*2.78+17.8*0.68</f>
        <v>322.24</v>
      </c>
      <c r="I564" s="113">
        <f>111.56*2.78+17.8*0.68</f>
        <v>322.24</v>
      </c>
      <c r="J564" s="113">
        <f>121*2.78+25.2*0.68</f>
        <v>353.52</v>
      </c>
      <c r="K564" s="116"/>
      <c r="L564" s="116"/>
      <c r="M564" s="116"/>
      <c r="N564" s="104">
        <f>VLOOKUP(B564,'Форма КП'!$B$17:$G$25,5,FALSE)</f>
        <v>0</v>
      </c>
      <c r="O564" s="104">
        <f>N564*F564</f>
        <v>0</v>
      </c>
      <c r="P564" s="104"/>
      <c r="Q564" s="104"/>
      <c r="R564" s="104">
        <f>N564</f>
        <v>0</v>
      </c>
      <c r="S564" s="104">
        <f>N564*F564</f>
        <v>0</v>
      </c>
    </row>
    <row r="565" spans="1:19" x14ac:dyDescent="0.25">
      <c r="A565" s="132" t="s">
        <v>722</v>
      </c>
      <c r="B565" s="128" t="s">
        <v>486</v>
      </c>
      <c r="C565" s="133" t="s">
        <v>487</v>
      </c>
      <c r="D565" s="90">
        <v>1.45</v>
      </c>
      <c r="E565" s="132" t="s">
        <v>6</v>
      </c>
      <c r="F565" s="134">
        <f t="shared" si="328"/>
        <v>1992.43</v>
      </c>
      <c r="G565" s="88">
        <f>G564*D565</f>
        <v>545.33000000000004</v>
      </c>
      <c r="H565" s="88">
        <f>H564*D565</f>
        <v>467.25</v>
      </c>
      <c r="I565" s="88">
        <f>I564*D565</f>
        <v>467.25</v>
      </c>
      <c r="J565" s="88">
        <f>J564*D565</f>
        <v>512.6</v>
      </c>
      <c r="K565" s="106"/>
      <c r="L565" s="106"/>
      <c r="M565" s="106"/>
      <c r="N565" s="29"/>
      <c r="O565" s="29"/>
      <c r="P565" s="86">
        <f>VLOOKUP(B565,'Форма КП'!$B$27:$G$49,5,FALSE)</f>
        <v>0</v>
      </c>
      <c r="Q565" s="86">
        <f t="shared" ref="Q565" si="332">P565*F565</f>
        <v>0</v>
      </c>
      <c r="R565" s="32">
        <f t="shared" ref="R565:R567" si="333">P565</f>
        <v>0</v>
      </c>
      <c r="S565" s="32">
        <f t="shared" ref="S565" si="334">P565*F565</f>
        <v>0</v>
      </c>
    </row>
    <row r="566" spans="1:19" x14ac:dyDescent="0.25">
      <c r="A566" s="132" t="s">
        <v>723</v>
      </c>
      <c r="B566" s="128" t="s">
        <v>484</v>
      </c>
      <c r="C566" s="133" t="s">
        <v>225</v>
      </c>
      <c r="D566" s="90">
        <v>0.4</v>
      </c>
      <c r="E566" s="132" t="s">
        <v>226</v>
      </c>
      <c r="F566" s="134">
        <f t="shared" si="328"/>
        <v>549.65</v>
      </c>
      <c r="G566" s="88">
        <f>G564*D566</f>
        <v>150.44</v>
      </c>
      <c r="H566" s="88">
        <f>H564*D566</f>
        <v>128.9</v>
      </c>
      <c r="I566" s="88">
        <f>I564*D566</f>
        <v>128.9</v>
      </c>
      <c r="J566" s="88">
        <f>J564*D566</f>
        <v>141.41</v>
      </c>
      <c r="K566" s="106"/>
      <c r="L566" s="106"/>
      <c r="M566" s="106"/>
      <c r="N566" s="29"/>
      <c r="O566" s="29"/>
      <c r="P566" s="49" t="str">
        <f>VLOOKUP(B566,'Форма КП'!$B$27:$G$49,5,FALSE)</f>
        <v>Материал заказчика</v>
      </c>
      <c r="Q566" s="50"/>
      <c r="R566" s="49" t="str">
        <f t="shared" si="333"/>
        <v>Материал заказчика</v>
      </c>
      <c r="S566" s="50"/>
    </row>
    <row r="567" spans="1:19" x14ac:dyDescent="0.25">
      <c r="A567" s="132" t="s">
        <v>724</v>
      </c>
      <c r="B567" s="128" t="s">
        <v>511</v>
      </c>
      <c r="C567" s="133" t="s">
        <v>512</v>
      </c>
      <c r="D567" s="90">
        <v>16</v>
      </c>
      <c r="E567" s="132" t="s">
        <v>228</v>
      </c>
      <c r="F567" s="134">
        <f t="shared" si="328"/>
        <v>21985.439999999999</v>
      </c>
      <c r="G567" s="88">
        <f>G564*D567</f>
        <v>6017.44</v>
      </c>
      <c r="H567" s="88">
        <f>H564*D567</f>
        <v>5155.84</v>
      </c>
      <c r="I567" s="88">
        <f>I564*D567</f>
        <v>5155.84</v>
      </c>
      <c r="J567" s="88">
        <f>J564*D567</f>
        <v>5656.32</v>
      </c>
      <c r="K567" s="106"/>
      <c r="L567" s="106"/>
      <c r="M567" s="106"/>
      <c r="N567" s="29"/>
      <c r="O567" s="29"/>
      <c r="P567" s="49" t="str">
        <f>VLOOKUP(B567,'Форма КП'!$B$27:$G$49,5,FALSE)</f>
        <v>Материал заказчика</v>
      </c>
      <c r="Q567" s="50"/>
      <c r="R567" s="49" t="str">
        <f t="shared" si="333"/>
        <v>Материал заказчика</v>
      </c>
      <c r="S567" s="50"/>
    </row>
    <row r="568" spans="1:19" ht="132" x14ac:dyDescent="0.25">
      <c r="A568" s="127" t="s">
        <v>725</v>
      </c>
      <c r="B568" s="128" t="s">
        <v>481</v>
      </c>
      <c r="C568" s="129" t="s">
        <v>778</v>
      </c>
      <c r="D568" s="130"/>
      <c r="E568" s="127" t="s">
        <v>224</v>
      </c>
      <c r="F568" s="131">
        <f t="shared" si="328"/>
        <v>733.61</v>
      </c>
      <c r="G568" s="116">
        <f>G564+G560</f>
        <v>733.61</v>
      </c>
      <c r="H568" s="116"/>
      <c r="I568" s="116"/>
      <c r="J568" s="116"/>
      <c r="K568" s="116"/>
      <c r="L568" s="116"/>
      <c r="M568" s="116"/>
      <c r="N568" s="104">
        <f>VLOOKUP(B568,'Форма КП'!$B$17:$G$25,5,FALSE)</f>
        <v>0</v>
      </c>
      <c r="O568" s="104">
        <f>N568*F568</f>
        <v>0</v>
      </c>
      <c r="P568" s="104"/>
      <c r="Q568" s="104"/>
      <c r="R568" s="104">
        <f>N568</f>
        <v>0</v>
      </c>
      <c r="S568" s="104">
        <f>N568*F568</f>
        <v>0</v>
      </c>
    </row>
    <row r="569" spans="1:19" x14ac:dyDescent="0.25">
      <c r="A569" s="132" t="s">
        <v>726</v>
      </c>
      <c r="B569" s="128" t="s">
        <v>482</v>
      </c>
      <c r="C569" s="133" t="s">
        <v>483</v>
      </c>
      <c r="D569" s="136">
        <v>2.4</v>
      </c>
      <c r="E569" s="132" t="s">
        <v>228</v>
      </c>
      <c r="F569" s="134">
        <f t="shared" si="328"/>
        <v>1760.66</v>
      </c>
      <c r="G569" s="88">
        <f>G568*D569</f>
        <v>1760.66</v>
      </c>
      <c r="H569" s="88">
        <f>H568*D569</f>
        <v>0</v>
      </c>
      <c r="I569" s="88">
        <f>I568*D569</f>
        <v>0</v>
      </c>
      <c r="J569" s="88">
        <f>J568*D569</f>
        <v>0</v>
      </c>
      <c r="K569" s="106"/>
      <c r="L569" s="106"/>
      <c r="M569" s="106"/>
      <c r="N569" s="29"/>
      <c r="O569" s="29"/>
      <c r="P569" s="49" t="str">
        <f>VLOOKUP(B569,'Форма КП'!$B$27:$G$49,5,FALSE)</f>
        <v>Материал заказчика</v>
      </c>
      <c r="Q569" s="50"/>
      <c r="R569" s="49" t="str">
        <f t="shared" ref="R569:R570" si="335">P569</f>
        <v>Материал заказчика</v>
      </c>
      <c r="S569" s="50"/>
    </row>
    <row r="570" spans="1:19" x14ac:dyDescent="0.25">
      <c r="A570" s="132" t="s">
        <v>727</v>
      </c>
      <c r="B570" s="128" t="s">
        <v>484</v>
      </c>
      <c r="C570" s="133" t="s">
        <v>225</v>
      </c>
      <c r="D570" s="136">
        <v>0.15</v>
      </c>
      <c r="E570" s="132" t="s">
        <v>226</v>
      </c>
      <c r="F570" s="134">
        <f t="shared" si="328"/>
        <v>110.04</v>
      </c>
      <c r="G570" s="88">
        <f>G568*D570</f>
        <v>110.04</v>
      </c>
      <c r="H570" s="88">
        <f>H568*D570</f>
        <v>0</v>
      </c>
      <c r="I570" s="88">
        <f>I568*D570</f>
        <v>0</v>
      </c>
      <c r="J570" s="88">
        <f>J568*D570</f>
        <v>0</v>
      </c>
      <c r="K570" s="106"/>
      <c r="L570" s="106"/>
      <c r="M570" s="106"/>
      <c r="N570" s="29"/>
      <c r="O570" s="29"/>
      <c r="P570" s="49" t="str">
        <f>VLOOKUP(B570,'Форма КП'!$B$27:$G$49,5,FALSE)</f>
        <v>Материал заказчика</v>
      </c>
      <c r="Q570" s="50"/>
      <c r="R570" s="49" t="str">
        <f t="shared" si="335"/>
        <v>Материал заказчика</v>
      </c>
      <c r="S570" s="50"/>
    </row>
    <row r="571" spans="1:19" ht="264" x14ac:dyDescent="0.25">
      <c r="A571" s="127" t="s">
        <v>728</v>
      </c>
      <c r="B571" s="128" t="s">
        <v>474</v>
      </c>
      <c r="C571" s="129" t="s">
        <v>782</v>
      </c>
      <c r="D571" s="130"/>
      <c r="E571" s="127" t="s">
        <v>224</v>
      </c>
      <c r="F571" s="131">
        <f t="shared" si="328"/>
        <v>64.22</v>
      </c>
      <c r="G571" s="115">
        <f>6.66*2.75+1.02*2.81</f>
        <v>21.18</v>
      </c>
      <c r="H571" s="115">
        <f>3.48*2.75</f>
        <v>9.57</v>
      </c>
      <c r="I571" s="115">
        <f>3.48*2.75</f>
        <v>9.57</v>
      </c>
      <c r="J571" s="115">
        <f>8.69*2.75</f>
        <v>23.9</v>
      </c>
      <c r="K571" s="115"/>
      <c r="L571" s="115"/>
      <c r="M571" s="115"/>
      <c r="N571" s="104">
        <f>VLOOKUP(B571,'Форма КП'!$B$17:$G$25,5,FALSE)</f>
        <v>0</v>
      </c>
      <c r="O571" s="104">
        <f>N571*F571</f>
        <v>0</v>
      </c>
      <c r="P571" s="104"/>
      <c r="Q571" s="104"/>
      <c r="R571" s="104">
        <f>N571</f>
        <v>0</v>
      </c>
      <c r="S571" s="104">
        <f>N571*F571</f>
        <v>0</v>
      </c>
    </row>
    <row r="572" spans="1:19" x14ac:dyDescent="0.25">
      <c r="A572" s="132" t="s">
        <v>729</v>
      </c>
      <c r="B572" s="128" t="s">
        <v>524</v>
      </c>
      <c r="C572" s="133" t="s">
        <v>525</v>
      </c>
      <c r="D572" s="90">
        <v>2.25</v>
      </c>
      <c r="E572" s="132" t="s">
        <v>224</v>
      </c>
      <c r="F572" s="134">
        <f t="shared" si="328"/>
        <v>144.5</v>
      </c>
      <c r="G572" s="88">
        <f>G571*D572</f>
        <v>47.66</v>
      </c>
      <c r="H572" s="88">
        <f>H571*D572</f>
        <v>21.53</v>
      </c>
      <c r="I572" s="88">
        <f>I571*D572</f>
        <v>21.53</v>
      </c>
      <c r="J572" s="88">
        <f>J571*D572</f>
        <v>53.78</v>
      </c>
      <c r="K572" s="106"/>
      <c r="L572" s="106"/>
      <c r="M572" s="106"/>
      <c r="N572" s="29"/>
      <c r="O572" s="29"/>
      <c r="P572" s="86">
        <f>VLOOKUP(B572,'Форма КП'!$B$27:$G$49,5,FALSE)</f>
        <v>0</v>
      </c>
      <c r="Q572" s="86">
        <f t="shared" ref="Q572:Q574" si="336">P572*F572</f>
        <v>0</v>
      </c>
      <c r="R572" s="32">
        <f t="shared" ref="R572:R574" si="337">P572</f>
        <v>0</v>
      </c>
      <c r="S572" s="32">
        <f t="shared" ref="S572:S574" si="338">P572*F572</f>
        <v>0</v>
      </c>
    </row>
    <row r="573" spans="1:19" x14ac:dyDescent="0.25">
      <c r="A573" s="132" t="s">
        <v>730</v>
      </c>
      <c r="B573" s="128" t="s">
        <v>477</v>
      </c>
      <c r="C573" s="133" t="s">
        <v>478</v>
      </c>
      <c r="D573" s="90">
        <v>0.86</v>
      </c>
      <c r="E573" s="132" t="s">
        <v>6</v>
      </c>
      <c r="F573" s="134">
        <f t="shared" si="328"/>
        <v>55.22</v>
      </c>
      <c r="G573" s="88">
        <f>G571*D573</f>
        <v>18.21</v>
      </c>
      <c r="H573" s="88">
        <f>H571*D573</f>
        <v>8.23</v>
      </c>
      <c r="I573" s="88">
        <f>I571*D573</f>
        <v>8.23</v>
      </c>
      <c r="J573" s="88">
        <f>J571*D573</f>
        <v>20.55</v>
      </c>
      <c r="K573" s="106"/>
      <c r="L573" s="106"/>
      <c r="M573" s="106"/>
      <c r="N573" s="29"/>
      <c r="O573" s="29"/>
      <c r="P573" s="86">
        <f>VLOOKUP(B573,'Форма КП'!$B$27:$G$49,5,FALSE)</f>
        <v>0</v>
      </c>
      <c r="Q573" s="86">
        <f t="shared" si="336"/>
        <v>0</v>
      </c>
      <c r="R573" s="32">
        <f t="shared" si="337"/>
        <v>0</v>
      </c>
      <c r="S573" s="32">
        <f t="shared" si="338"/>
        <v>0</v>
      </c>
    </row>
    <row r="574" spans="1:19" x14ac:dyDescent="0.25">
      <c r="A574" s="132" t="s">
        <v>731</v>
      </c>
      <c r="B574" s="128" t="s">
        <v>479</v>
      </c>
      <c r="C574" s="133" t="s">
        <v>480</v>
      </c>
      <c r="D574" s="90">
        <v>2.34</v>
      </c>
      <c r="E574" s="132" t="s">
        <v>6</v>
      </c>
      <c r="F574" s="134">
        <f t="shared" si="328"/>
        <v>150.27000000000001</v>
      </c>
      <c r="G574" s="88">
        <f>G571*D574</f>
        <v>49.56</v>
      </c>
      <c r="H574" s="88">
        <f>H571*D574</f>
        <v>22.39</v>
      </c>
      <c r="I574" s="88">
        <f>I571*D574</f>
        <v>22.39</v>
      </c>
      <c r="J574" s="88">
        <f>J571*D574</f>
        <v>55.93</v>
      </c>
      <c r="K574" s="106"/>
      <c r="L574" s="106"/>
      <c r="M574" s="106"/>
      <c r="N574" s="29"/>
      <c r="O574" s="29"/>
      <c r="P574" s="86">
        <f>VLOOKUP(B574,'Форма КП'!$B$27:$G$49,5,FALSE)</f>
        <v>0</v>
      </c>
      <c r="Q574" s="86">
        <f t="shared" si="336"/>
        <v>0</v>
      </c>
      <c r="R574" s="32">
        <f t="shared" si="337"/>
        <v>0</v>
      </c>
      <c r="S574" s="32">
        <f t="shared" si="338"/>
        <v>0</v>
      </c>
    </row>
    <row r="575" spans="1:19" x14ac:dyDescent="0.25">
      <c r="A575" s="119" t="s">
        <v>443</v>
      </c>
      <c r="B575" s="120"/>
      <c r="C575" s="121"/>
      <c r="D575" s="122"/>
      <c r="E575" s="123"/>
      <c r="F575" s="124"/>
      <c r="G575" s="125"/>
      <c r="H575" s="125"/>
      <c r="I575" s="125"/>
      <c r="J575" s="125"/>
      <c r="K575" s="125"/>
      <c r="L575" s="125"/>
      <c r="M575" s="125"/>
      <c r="N575" s="33"/>
      <c r="O575" s="33"/>
      <c r="P575" s="33"/>
      <c r="Q575" s="33"/>
      <c r="R575" s="33"/>
      <c r="S575" s="31"/>
    </row>
    <row r="576" spans="1:19" x14ac:dyDescent="0.25">
      <c r="A576" s="126" t="s">
        <v>223</v>
      </c>
      <c r="B576" s="120"/>
      <c r="C576" s="121"/>
      <c r="D576" s="122"/>
      <c r="E576" s="123"/>
      <c r="F576" s="124"/>
      <c r="G576" s="125"/>
      <c r="H576" s="125"/>
      <c r="I576" s="125"/>
      <c r="J576" s="125"/>
      <c r="K576" s="125"/>
      <c r="L576" s="125"/>
      <c r="M576" s="125"/>
      <c r="N576" s="33"/>
      <c r="O576" s="33"/>
      <c r="P576" s="33"/>
      <c r="Q576" s="33"/>
      <c r="R576" s="33"/>
      <c r="S576" s="31"/>
    </row>
    <row r="577" spans="1:19" ht="264" x14ac:dyDescent="0.25">
      <c r="A577" s="127" t="s">
        <v>732</v>
      </c>
      <c r="B577" s="128" t="s">
        <v>474</v>
      </c>
      <c r="C577" s="129" t="s">
        <v>782</v>
      </c>
      <c r="D577" s="130"/>
      <c r="E577" s="127" t="s">
        <v>224</v>
      </c>
      <c r="F577" s="131">
        <f t="shared" ref="F577:F602" si="339">SUM(G577:M577)</f>
        <v>107.17</v>
      </c>
      <c r="G577" s="113">
        <f>6.46*2.81-2.4*2.3+4.94*2.81</f>
        <v>26.51</v>
      </c>
      <c r="H577" s="113">
        <f>6.46*2.81-2.4*2.3+5.1*2.81</f>
        <v>26.96</v>
      </c>
      <c r="I577" s="113">
        <f>6.46*2.81-2.4*2.3+5.1*2.81</f>
        <v>26.96</v>
      </c>
      <c r="J577" s="113">
        <f>6.46*2.81-2.4*2.3+5.02*2.81</f>
        <v>26.74</v>
      </c>
      <c r="K577" s="137"/>
      <c r="L577" s="137"/>
      <c r="M577" s="137"/>
      <c r="N577" s="104">
        <f>VLOOKUP(B577,'Форма КП'!$B$17:$G$25,5,FALSE)</f>
        <v>0</v>
      </c>
      <c r="O577" s="104">
        <f>N577*F577</f>
        <v>0</v>
      </c>
      <c r="P577" s="104"/>
      <c r="Q577" s="104"/>
      <c r="R577" s="104">
        <f>N577</f>
        <v>0</v>
      </c>
      <c r="S577" s="104">
        <f>N577*F577</f>
        <v>0</v>
      </c>
    </row>
    <row r="578" spans="1:19" x14ac:dyDescent="0.25">
      <c r="A578" s="132" t="s">
        <v>733</v>
      </c>
      <c r="B578" s="128" t="s">
        <v>475</v>
      </c>
      <c r="C578" s="133" t="s">
        <v>476</v>
      </c>
      <c r="D578" s="90">
        <v>2.25</v>
      </c>
      <c r="E578" s="132" t="s">
        <v>224</v>
      </c>
      <c r="F578" s="134">
        <f t="shared" si="339"/>
        <v>241.14</v>
      </c>
      <c r="G578" s="88">
        <f>G577*D578</f>
        <v>59.65</v>
      </c>
      <c r="H578" s="88">
        <f>H577*D578</f>
        <v>60.66</v>
      </c>
      <c r="I578" s="88">
        <f>I577*D578</f>
        <v>60.66</v>
      </c>
      <c r="J578" s="88">
        <f>J577*D578</f>
        <v>60.17</v>
      </c>
      <c r="K578" s="138"/>
      <c r="L578" s="138"/>
      <c r="M578" s="138"/>
      <c r="N578" s="29"/>
      <c r="O578" s="29"/>
      <c r="P578" s="86">
        <f>VLOOKUP(B578,'Форма КП'!$B$27:$G$49,5,FALSE)</f>
        <v>0</v>
      </c>
      <c r="Q578" s="86">
        <f t="shared" ref="Q578:Q580" si="340">P578*F578</f>
        <v>0</v>
      </c>
      <c r="R578" s="32">
        <f t="shared" ref="R578:R580" si="341">P578</f>
        <v>0</v>
      </c>
      <c r="S578" s="32">
        <f t="shared" ref="S578:S580" si="342">P578*F578</f>
        <v>0</v>
      </c>
    </row>
    <row r="579" spans="1:19" x14ac:dyDescent="0.25">
      <c r="A579" s="132" t="s">
        <v>734</v>
      </c>
      <c r="B579" s="128" t="s">
        <v>477</v>
      </c>
      <c r="C579" s="133" t="s">
        <v>478</v>
      </c>
      <c r="D579" s="90">
        <v>0.86</v>
      </c>
      <c r="E579" s="132" t="s">
        <v>6</v>
      </c>
      <c r="F579" s="134">
        <f t="shared" si="339"/>
        <v>92.18</v>
      </c>
      <c r="G579" s="88">
        <f>G577*D579</f>
        <v>22.8</v>
      </c>
      <c r="H579" s="88">
        <f>H577*D579</f>
        <v>23.19</v>
      </c>
      <c r="I579" s="88">
        <f>I577*D579</f>
        <v>23.19</v>
      </c>
      <c r="J579" s="88">
        <f>J577*D579</f>
        <v>23</v>
      </c>
      <c r="K579" s="138"/>
      <c r="L579" s="138"/>
      <c r="M579" s="138"/>
      <c r="N579" s="29"/>
      <c r="O579" s="29"/>
      <c r="P579" s="86">
        <f>VLOOKUP(B579,'Форма КП'!$B$27:$G$49,5,FALSE)</f>
        <v>0</v>
      </c>
      <c r="Q579" s="86">
        <f t="shared" si="340"/>
        <v>0</v>
      </c>
      <c r="R579" s="32">
        <f t="shared" si="341"/>
        <v>0</v>
      </c>
      <c r="S579" s="32">
        <f t="shared" si="342"/>
        <v>0</v>
      </c>
    </row>
    <row r="580" spans="1:19" x14ac:dyDescent="0.25">
      <c r="A580" s="132" t="s">
        <v>735</v>
      </c>
      <c r="B580" s="128" t="s">
        <v>479</v>
      </c>
      <c r="C580" s="133" t="s">
        <v>480</v>
      </c>
      <c r="D580" s="90">
        <v>2.34</v>
      </c>
      <c r="E580" s="132" t="s">
        <v>6</v>
      </c>
      <c r="F580" s="134">
        <f t="shared" si="339"/>
        <v>250.78</v>
      </c>
      <c r="G580" s="88">
        <f>G577*D580</f>
        <v>62.03</v>
      </c>
      <c r="H580" s="88">
        <f>H577*D580</f>
        <v>63.09</v>
      </c>
      <c r="I580" s="88">
        <f>I577*D580</f>
        <v>63.09</v>
      </c>
      <c r="J580" s="88">
        <f>J577*D580</f>
        <v>62.57</v>
      </c>
      <c r="K580" s="138"/>
      <c r="L580" s="138"/>
      <c r="M580" s="138"/>
      <c r="N580" s="29"/>
      <c r="O580" s="29"/>
      <c r="P580" s="86">
        <f>VLOOKUP(B580,'Форма КП'!$B$27:$G$49,5,FALSE)</f>
        <v>0</v>
      </c>
      <c r="Q580" s="86">
        <f t="shared" si="340"/>
        <v>0</v>
      </c>
      <c r="R580" s="32">
        <f t="shared" si="341"/>
        <v>0</v>
      </c>
      <c r="S580" s="32">
        <f t="shared" si="342"/>
        <v>0</v>
      </c>
    </row>
    <row r="581" spans="1:19" ht="216" x14ac:dyDescent="0.25">
      <c r="A581" s="127" t="s">
        <v>736</v>
      </c>
      <c r="B581" s="128" t="s">
        <v>510</v>
      </c>
      <c r="C581" s="129" t="s">
        <v>776</v>
      </c>
      <c r="D581" s="130"/>
      <c r="E581" s="127" t="s">
        <v>224</v>
      </c>
      <c r="F581" s="131">
        <f t="shared" si="339"/>
        <v>453.7</v>
      </c>
      <c r="G581" s="113">
        <f>(64.23-2)*2.7-12.99*2.1-1.37*1.7</f>
        <v>138.41</v>
      </c>
      <c r="H581" s="113">
        <f>(45.78-2)*2.7-8.2*2.1-3.05*1.7</f>
        <v>95.8</v>
      </c>
      <c r="I581" s="113">
        <f>(45.78-2)*2.7-8.2*2.1-3.05*1.7</f>
        <v>95.8</v>
      </c>
      <c r="J581" s="113">
        <f>(58-2)*2.7-11.99*2.1-1.37*1.7</f>
        <v>123.69</v>
      </c>
      <c r="K581" s="137"/>
      <c r="L581" s="137"/>
      <c r="M581" s="137"/>
      <c r="N581" s="104">
        <f>VLOOKUP(B581,'Форма КП'!$B$17:$G$25,5,FALSE)</f>
        <v>0</v>
      </c>
      <c r="O581" s="104">
        <f>N581*F581</f>
        <v>0</v>
      </c>
      <c r="P581" s="104"/>
      <c r="Q581" s="104"/>
      <c r="R581" s="104">
        <f>N581</f>
        <v>0</v>
      </c>
      <c r="S581" s="104">
        <f>N581*F581</f>
        <v>0</v>
      </c>
    </row>
    <row r="582" spans="1:19" x14ac:dyDescent="0.25">
      <c r="A582" s="132" t="s">
        <v>737</v>
      </c>
      <c r="B582" s="128" t="s">
        <v>486</v>
      </c>
      <c r="C582" s="133" t="s">
        <v>487</v>
      </c>
      <c r="D582" s="90">
        <v>1.45</v>
      </c>
      <c r="E582" s="132" t="s">
        <v>6</v>
      </c>
      <c r="F582" s="134">
        <f t="shared" si="339"/>
        <v>657.86</v>
      </c>
      <c r="G582" s="88">
        <f>G581*D582</f>
        <v>200.69</v>
      </c>
      <c r="H582" s="88">
        <f>H581*D582</f>
        <v>138.91</v>
      </c>
      <c r="I582" s="88">
        <f>I581*D582</f>
        <v>138.91</v>
      </c>
      <c r="J582" s="88">
        <f>J581*D582</f>
        <v>179.35</v>
      </c>
      <c r="K582" s="138"/>
      <c r="L582" s="138"/>
      <c r="M582" s="138"/>
      <c r="N582" s="29"/>
      <c r="O582" s="29"/>
      <c r="P582" s="86">
        <f>VLOOKUP(B582,'Форма КП'!$B$27:$G$49,5,FALSE)</f>
        <v>0</v>
      </c>
      <c r="Q582" s="86">
        <f t="shared" ref="Q582" si="343">P582*F582</f>
        <v>0</v>
      </c>
      <c r="R582" s="32">
        <f t="shared" ref="R582:R584" si="344">P582</f>
        <v>0</v>
      </c>
      <c r="S582" s="32">
        <f t="shared" ref="S582" si="345">P582*F582</f>
        <v>0</v>
      </c>
    </row>
    <row r="583" spans="1:19" x14ac:dyDescent="0.25">
      <c r="A583" s="132" t="s">
        <v>738</v>
      </c>
      <c r="B583" s="128" t="s">
        <v>488</v>
      </c>
      <c r="C583" s="133" t="s">
        <v>489</v>
      </c>
      <c r="D583" s="90">
        <v>0.2</v>
      </c>
      <c r="E583" s="132" t="s">
        <v>228</v>
      </c>
      <c r="F583" s="134">
        <f t="shared" si="339"/>
        <v>92.9</v>
      </c>
      <c r="G583" s="88">
        <f>((64.23-2)*2.7-12.99*2.1-1.37*1.7)*D583</f>
        <v>27.68</v>
      </c>
      <c r="H583" s="88">
        <f>(45.78*2.7-8.2*2.1-3.05*1.7)*D583</f>
        <v>20.239999999999998</v>
      </c>
      <c r="I583" s="88">
        <f>(45.78*2.7-8.2*2.1-3.05*1.7)*D583</f>
        <v>20.239999999999998</v>
      </c>
      <c r="J583" s="88">
        <f>((58-2)*2.7-11.99*2.1-1.37*1.7)*D583</f>
        <v>24.74</v>
      </c>
      <c r="K583" s="138"/>
      <c r="L583" s="138"/>
      <c r="M583" s="138"/>
      <c r="N583" s="29"/>
      <c r="O583" s="29"/>
      <c r="P583" s="49" t="str">
        <f>VLOOKUP(B583,'Форма КП'!$B$27:$G$49,5,FALSE)</f>
        <v>Материал заказчика</v>
      </c>
      <c r="Q583" s="50"/>
      <c r="R583" s="49" t="str">
        <f t="shared" si="344"/>
        <v>Материал заказчика</v>
      </c>
      <c r="S583" s="50"/>
    </row>
    <row r="584" spans="1:19" x14ac:dyDescent="0.25">
      <c r="A584" s="132" t="s">
        <v>739</v>
      </c>
      <c r="B584" s="128" t="s">
        <v>511</v>
      </c>
      <c r="C584" s="133" t="s">
        <v>512</v>
      </c>
      <c r="D584" s="90">
        <v>16</v>
      </c>
      <c r="E584" s="132" t="s">
        <v>228</v>
      </c>
      <c r="F584" s="134">
        <f t="shared" si="339"/>
        <v>7259.2</v>
      </c>
      <c r="G584" s="88">
        <f>G581*D584</f>
        <v>2214.56</v>
      </c>
      <c r="H584" s="88">
        <f>H581*D584</f>
        <v>1532.8</v>
      </c>
      <c r="I584" s="88">
        <f>I581*D584</f>
        <v>1532.8</v>
      </c>
      <c r="J584" s="88">
        <f>J581*D584</f>
        <v>1979.04</v>
      </c>
      <c r="K584" s="138"/>
      <c r="L584" s="138"/>
      <c r="M584" s="138"/>
      <c r="N584" s="29"/>
      <c r="O584" s="29"/>
      <c r="P584" s="49" t="str">
        <f>VLOOKUP(B584,'Форма КП'!$B$27:$G$49,5,FALSE)</f>
        <v>Материал заказчика</v>
      </c>
      <c r="Q584" s="50"/>
      <c r="R584" s="49" t="str">
        <f t="shared" si="344"/>
        <v>Материал заказчика</v>
      </c>
      <c r="S584" s="50"/>
    </row>
    <row r="585" spans="1:19" ht="216" x14ac:dyDescent="0.25">
      <c r="A585" s="127" t="s">
        <v>740</v>
      </c>
      <c r="B585" s="128" t="s">
        <v>510</v>
      </c>
      <c r="C585" s="129" t="s">
        <v>776</v>
      </c>
      <c r="D585" s="130"/>
      <c r="E585" s="127" t="s">
        <v>224</v>
      </c>
      <c r="F585" s="131">
        <f t="shared" si="339"/>
        <v>111.48</v>
      </c>
      <c r="G585" s="113">
        <f>12.7*2.7-2*2.1</f>
        <v>30.09</v>
      </c>
      <c r="H585" s="113">
        <f>10.8*2.7-2*2.1</f>
        <v>24.96</v>
      </c>
      <c r="I585" s="113">
        <f>10.8*2.7-2*2.1</f>
        <v>24.96</v>
      </c>
      <c r="J585" s="113">
        <f>13.21*2.7-2*2.1</f>
        <v>31.47</v>
      </c>
      <c r="K585" s="137"/>
      <c r="L585" s="137"/>
      <c r="M585" s="137"/>
      <c r="N585" s="104">
        <f>VLOOKUP(B585,'Форма КП'!$B$17:$G$25,5,FALSE)</f>
        <v>0</v>
      </c>
      <c r="O585" s="104">
        <f>N585*F585</f>
        <v>0</v>
      </c>
      <c r="P585" s="104"/>
      <c r="Q585" s="104"/>
      <c r="R585" s="104">
        <f>N585</f>
        <v>0</v>
      </c>
      <c r="S585" s="104">
        <f>N585*F585</f>
        <v>0</v>
      </c>
    </row>
    <row r="586" spans="1:19" x14ac:dyDescent="0.25">
      <c r="A586" s="132" t="s">
        <v>741</v>
      </c>
      <c r="B586" s="128" t="s">
        <v>486</v>
      </c>
      <c r="C586" s="133" t="s">
        <v>487</v>
      </c>
      <c r="D586" s="90">
        <v>1.45</v>
      </c>
      <c r="E586" s="132" t="s">
        <v>6</v>
      </c>
      <c r="F586" s="134">
        <f t="shared" si="339"/>
        <v>161.63999999999999</v>
      </c>
      <c r="G586" s="88">
        <f>G585*D586</f>
        <v>43.63</v>
      </c>
      <c r="H586" s="88">
        <f>H585*D586</f>
        <v>36.19</v>
      </c>
      <c r="I586" s="88">
        <f>I585*D586</f>
        <v>36.19</v>
      </c>
      <c r="J586" s="88">
        <f>J585*D586</f>
        <v>45.63</v>
      </c>
      <c r="K586" s="138"/>
      <c r="L586" s="138"/>
      <c r="M586" s="138"/>
      <c r="N586" s="29"/>
      <c r="O586" s="29"/>
      <c r="P586" s="86">
        <f>VLOOKUP(B586,'Форма КП'!$B$27:$G$49,5,FALSE)</f>
        <v>0</v>
      </c>
      <c r="Q586" s="86">
        <f t="shared" ref="Q586" si="346">P586*F586</f>
        <v>0</v>
      </c>
      <c r="R586" s="32">
        <f t="shared" ref="R586:R588" si="347">P586</f>
        <v>0</v>
      </c>
      <c r="S586" s="32">
        <f t="shared" ref="S586" si="348">P586*F586</f>
        <v>0</v>
      </c>
    </row>
    <row r="587" spans="1:19" x14ac:dyDescent="0.25">
      <c r="A587" s="132" t="s">
        <v>742</v>
      </c>
      <c r="B587" s="128" t="s">
        <v>484</v>
      </c>
      <c r="C587" s="133" t="s">
        <v>225</v>
      </c>
      <c r="D587" s="90">
        <v>0.4</v>
      </c>
      <c r="E587" s="132" t="s">
        <v>226</v>
      </c>
      <c r="F587" s="134">
        <f t="shared" si="339"/>
        <v>44.59</v>
      </c>
      <c r="G587" s="88">
        <f>(12.7*2.7-2*2.1)*D587</f>
        <v>12.04</v>
      </c>
      <c r="H587" s="88">
        <f>(10.8*2.7-2*2.1)*D587</f>
        <v>9.98</v>
      </c>
      <c r="I587" s="88">
        <f>(10.8*2.7-2*2.1)*D587</f>
        <v>9.98</v>
      </c>
      <c r="J587" s="88">
        <f>(13.21*2.7-2*2.1)*D587</f>
        <v>12.59</v>
      </c>
      <c r="K587" s="138"/>
      <c r="L587" s="138"/>
      <c r="M587" s="138"/>
      <c r="N587" s="29"/>
      <c r="O587" s="29"/>
      <c r="P587" s="49" t="str">
        <f>VLOOKUP(B587,'Форма КП'!$B$27:$G$49,5,FALSE)</f>
        <v>Материал заказчика</v>
      </c>
      <c r="Q587" s="50"/>
      <c r="R587" s="49" t="str">
        <f t="shared" si="347"/>
        <v>Материал заказчика</v>
      </c>
      <c r="S587" s="50"/>
    </row>
    <row r="588" spans="1:19" x14ac:dyDescent="0.25">
      <c r="A588" s="132" t="s">
        <v>743</v>
      </c>
      <c r="B588" s="128" t="s">
        <v>511</v>
      </c>
      <c r="C588" s="133" t="s">
        <v>512</v>
      </c>
      <c r="D588" s="90">
        <v>16</v>
      </c>
      <c r="E588" s="132" t="s">
        <v>228</v>
      </c>
      <c r="F588" s="134">
        <f t="shared" si="339"/>
        <v>1783.68</v>
      </c>
      <c r="G588" s="88">
        <f>G585*D588</f>
        <v>481.44</v>
      </c>
      <c r="H588" s="88">
        <f>H585*D588</f>
        <v>399.36</v>
      </c>
      <c r="I588" s="88">
        <f>I585*D588</f>
        <v>399.36</v>
      </c>
      <c r="J588" s="88">
        <f>J585*D588</f>
        <v>503.52</v>
      </c>
      <c r="K588" s="138"/>
      <c r="L588" s="138"/>
      <c r="M588" s="138"/>
      <c r="N588" s="29"/>
      <c r="O588" s="29"/>
      <c r="P588" s="49" t="str">
        <f>VLOOKUP(B588,'Форма КП'!$B$27:$G$49,5,FALSE)</f>
        <v>Материал заказчика</v>
      </c>
      <c r="Q588" s="50"/>
      <c r="R588" s="49" t="str">
        <f t="shared" si="347"/>
        <v>Материал заказчика</v>
      </c>
      <c r="S588" s="50"/>
    </row>
    <row r="589" spans="1:19" ht="120" x14ac:dyDescent="0.25">
      <c r="A589" s="127" t="s">
        <v>744</v>
      </c>
      <c r="B589" s="128" t="s">
        <v>513</v>
      </c>
      <c r="C589" s="129" t="s">
        <v>777</v>
      </c>
      <c r="D589" s="130"/>
      <c r="E589" s="127" t="s">
        <v>224</v>
      </c>
      <c r="F589" s="131">
        <f t="shared" si="339"/>
        <v>398.93</v>
      </c>
      <c r="G589" s="115">
        <f>(59.41-2)*2.7-13.69*2.1</f>
        <v>126.26</v>
      </c>
      <c r="H589" s="115">
        <f>(39.06-2)*2.7-8.9*2.1-1.37*1.7</f>
        <v>79.040000000000006</v>
      </c>
      <c r="I589" s="115">
        <f>(39.06-2)*2.7-8.9*2.1-1.37*1.7</f>
        <v>79.040000000000006</v>
      </c>
      <c r="J589" s="115">
        <f>52.31*2.7-12.69*2.1</f>
        <v>114.59</v>
      </c>
      <c r="K589" s="137"/>
      <c r="L589" s="137"/>
      <c r="M589" s="137"/>
      <c r="N589" s="104">
        <f>VLOOKUP(B589,'Форма КП'!$B$17:$G$25,5,FALSE)</f>
        <v>0</v>
      </c>
      <c r="O589" s="104">
        <f>N589*F589</f>
        <v>0</v>
      </c>
      <c r="P589" s="104"/>
      <c r="Q589" s="104"/>
      <c r="R589" s="104">
        <f>N589</f>
        <v>0</v>
      </c>
      <c r="S589" s="104">
        <f>N589*F589</f>
        <v>0</v>
      </c>
    </row>
    <row r="590" spans="1:19" x14ac:dyDescent="0.25">
      <c r="A590" s="132" t="s">
        <v>745</v>
      </c>
      <c r="B590" s="128" t="s">
        <v>484</v>
      </c>
      <c r="C590" s="133" t="s">
        <v>225</v>
      </c>
      <c r="D590" s="90">
        <v>0.15</v>
      </c>
      <c r="E590" s="132" t="s">
        <v>226</v>
      </c>
      <c r="F590" s="134">
        <f t="shared" si="339"/>
        <v>59.85</v>
      </c>
      <c r="G590" s="88">
        <f>G589*D590</f>
        <v>18.940000000000001</v>
      </c>
      <c r="H590" s="88">
        <f>H589*D590</f>
        <v>11.86</v>
      </c>
      <c r="I590" s="88">
        <f>I589*D590</f>
        <v>11.86</v>
      </c>
      <c r="J590" s="88">
        <f>J589*D590</f>
        <v>17.190000000000001</v>
      </c>
      <c r="K590" s="138"/>
      <c r="L590" s="138"/>
      <c r="M590" s="138"/>
      <c r="N590" s="29"/>
      <c r="O590" s="29"/>
      <c r="P590" s="49" t="str">
        <f>VLOOKUP(B590,'Форма КП'!$B$27:$G$49,5,FALSE)</f>
        <v>Материал заказчика</v>
      </c>
      <c r="Q590" s="50"/>
      <c r="R590" s="49" t="str">
        <f t="shared" ref="R590:R591" si="349">P590</f>
        <v>Материал заказчика</v>
      </c>
      <c r="S590" s="50"/>
    </row>
    <row r="591" spans="1:19" x14ac:dyDescent="0.25">
      <c r="A591" s="132" t="s">
        <v>746</v>
      </c>
      <c r="B591" s="128" t="s">
        <v>514</v>
      </c>
      <c r="C591" s="133" t="s">
        <v>515</v>
      </c>
      <c r="D591" s="90">
        <v>5</v>
      </c>
      <c r="E591" s="132" t="s">
        <v>228</v>
      </c>
      <c r="F591" s="134">
        <f t="shared" si="339"/>
        <v>1994.65</v>
      </c>
      <c r="G591" s="88">
        <f>G589*D591</f>
        <v>631.29999999999995</v>
      </c>
      <c r="H591" s="88">
        <f>H589*D591</f>
        <v>395.2</v>
      </c>
      <c r="I591" s="88">
        <f>I589*D591</f>
        <v>395.2</v>
      </c>
      <c r="J591" s="88">
        <f>J589*D591</f>
        <v>572.95000000000005</v>
      </c>
      <c r="K591" s="138"/>
      <c r="L591" s="138"/>
      <c r="M591" s="138"/>
      <c r="N591" s="29"/>
      <c r="O591" s="29"/>
      <c r="P591" s="49" t="str">
        <f>VLOOKUP(B591,'Форма КП'!$B$27:$G$49,5,FALSE)</f>
        <v>Материал заказчика</v>
      </c>
      <c r="Q591" s="50"/>
      <c r="R591" s="49" t="str">
        <f t="shared" si="349"/>
        <v>Материал заказчика</v>
      </c>
      <c r="S591" s="50"/>
    </row>
    <row r="592" spans="1:19" ht="156" x14ac:dyDescent="0.25">
      <c r="A592" s="127" t="s">
        <v>747</v>
      </c>
      <c r="B592" s="128" t="s">
        <v>493</v>
      </c>
      <c r="C592" s="129" t="s">
        <v>780</v>
      </c>
      <c r="D592" s="130"/>
      <c r="E592" s="127" t="s">
        <v>224</v>
      </c>
      <c r="F592" s="131">
        <f t="shared" si="339"/>
        <v>8.4</v>
      </c>
      <c r="G592" s="112">
        <f>0.2*2*6</f>
        <v>2.4</v>
      </c>
      <c r="H592" s="112">
        <f t="shared" ref="H592:J592" si="350">0.2*2*5</f>
        <v>2</v>
      </c>
      <c r="I592" s="112">
        <f t="shared" si="350"/>
        <v>2</v>
      </c>
      <c r="J592" s="112">
        <f t="shared" si="350"/>
        <v>2</v>
      </c>
      <c r="K592" s="137"/>
      <c r="L592" s="137"/>
      <c r="M592" s="137"/>
      <c r="N592" s="104">
        <f>VLOOKUP(B592,'Форма КП'!$B$17:$G$25,5,FALSE)</f>
        <v>0</v>
      </c>
      <c r="O592" s="104">
        <f>N592*F592</f>
        <v>0</v>
      </c>
      <c r="P592" s="104"/>
      <c r="Q592" s="104"/>
      <c r="R592" s="104">
        <f>N592</f>
        <v>0</v>
      </c>
      <c r="S592" s="104">
        <f>N592*F592</f>
        <v>0</v>
      </c>
    </row>
    <row r="593" spans="1:19" x14ac:dyDescent="0.25">
      <c r="A593" s="132" t="s">
        <v>748</v>
      </c>
      <c r="B593" s="128" t="s">
        <v>484</v>
      </c>
      <c r="C593" s="133" t="s">
        <v>225</v>
      </c>
      <c r="D593" s="90">
        <v>0.15</v>
      </c>
      <c r="E593" s="132" t="s">
        <v>226</v>
      </c>
      <c r="F593" s="134">
        <f t="shared" si="339"/>
        <v>1.26</v>
      </c>
      <c r="G593" s="88">
        <f>G592*D593</f>
        <v>0.36</v>
      </c>
      <c r="H593" s="88">
        <f>H592*D593</f>
        <v>0.3</v>
      </c>
      <c r="I593" s="88">
        <f>I592*D593</f>
        <v>0.3</v>
      </c>
      <c r="J593" s="88">
        <f>J592*D593</f>
        <v>0.3</v>
      </c>
      <c r="K593" s="138"/>
      <c r="L593" s="138"/>
      <c r="M593" s="138"/>
      <c r="N593" s="29"/>
      <c r="O593" s="29"/>
      <c r="P593" s="49" t="str">
        <f>VLOOKUP(B593,'Форма КП'!$B$27:$G$49,5,FALSE)</f>
        <v>Материал заказчика</v>
      </c>
      <c r="Q593" s="50"/>
      <c r="R593" s="49" t="str">
        <f t="shared" ref="R593:R596" si="351">P593</f>
        <v>Материал заказчика</v>
      </c>
      <c r="S593" s="50"/>
    </row>
    <row r="594" spans="1:19" x14ac:dyDescent="0.25">
      <c r="A594" s="132" t="s">
        <v>749</v>
      </c>
      <c r="B594" s="128" t="s">
        <v>496</v>
      </c>
      <c r="C594" s="133" t="s">
        <v>227</v>
      </c>
      <c r="D594" s="90">
        <v>10</v>
      </c>
      <c r="E594" s="132" t="s">
        <v>228</v>
      </c>
      <c r="F594" s="134">
        <f t="shared" si="339"/>
        <v>84</v>
      </c>
      <c r="G594" s="88">
        <f>G592*D594</f>
        <v>24</v>
      </c>
      <c r="H594" s="88">
        <f>H592*D594</f>
        <v>20</v>
      </c>
      <c r="I594" s="88">
        <f>I592*D594</f>
        <v>20</v>
      </c>
      <c r="J594" s="88">
        <f>J592*D594</f>
        <v>20</v>
      </c>
      <c r="K594" s="138"/>
      <c r="L594" s="138"/>
      <c r="M594" s="138"/>
      <c r="N594" s="29"/>
      <c r="O594" s="29"/>
      <c r="P594" s="49" t="str">
        <f>VLOOKUP(B594,'Форма КП'!$B$27:$G$49,5,FALSE)</f>
        <v>Материал заказчика</v>
      </c>
      <c r="Q594" s="50"/>
      <c r="R594" s="49" t="str">
        <f t="shared" si="351"/>
        <v>Материал заказчика</v>
      </c>
      <c r="S594" s="50"/>
    </row>
    <row r="595" spans="1:19" x14ac:dyDescent="0.25">
      <c r="A595" s="132" t="s">
        <v>750</v>
      </c>
      <c r="B595" s="128" t="s">
        <v>523</v>
      </c>
      <c r="C595" s="133" t="s">
        <v>229</v>
      </c>
      <c r="D595" s="90">
        <v>0.2</v>
      </c>
      <c r="E595" s="132" t="s">
        <v>228</v>
      </c>
      <c r="F595" s="134">
        <f t="shared" si="339"/>
        <v>1.68</v>
      </c>
      <c r="G595" s="88">
        <f>G592*D595</f>
        <v>0.48</v>
      </c>
      <c r="H595" s="88">
        <f>H592*D595</f>
        <v>0.4</v>
      </c>
      <c r="I595" s="88">
        <f>I592*D595</f>
        <v>0.4</v>
      </c>
      <c r="J595" s="88">
        <f>J592*D595</f>
        <v>0.4</v>
      </c>
      <c r="K595" s="138"/>
      <c r="L595" s="138"/>
      <c r="M595" s="138"/>
      <c r="N595" s="29"/>
      <c r="O595" s="29"/>
      <c r="P595" s="49" t="str">
        <f>VLOOKUP(B595,'Форма КП'!$B$27:$G$49,5,FALSE)</f>
        <v>Материал заказчика</v>
      </c>
      <c r="Q595" s="50"/>
      <c r="R595" s="49" t="str">
        <f t="shared" si="351"/>
        <v>Материал заказчика</v>
      </c>
      <c r="S595" s="50"/>
    </row>
    <row r="596" spans="1:19" x14ac:dyDescent="0.25">
      <c r="A596" s="132" t="s">
        <v>751</v>
      </c>
      <c r="B596" s="128" t="s">
        <v>501</v>
      </c>
      <c r="C596" s="133" t="s">
        <v>502</v>
      </c>
      <c r="D596" s="90">
        <v>1.05</v>
      </c>
      <c r="E596" s="132" t="s">
        <v>224</v>
      </c>
      <c r="F596" s="134">
        <f t="shared" si="339"/>
        <v>8.82</v>
      </c>
      <c r="G596" s="88">
        <f>G592*D596</f>
        <v>2.52</v>
      </c>
      <c r="H596" s="88">
        <f>H592*D596</f>
        <v>2.1</v>
      </c>
      <c r="I596" s="88">
        <f>I592*D596</f>
        <v>2.1</v>
      </c>
      <c r="J596" s="88">
        <f>J592*D596</f>
        <v>2.1</v>
      </c>
      <c r="K596" s="138"/>
      <c r="L596" s="138"/>
      <c r="M596" s="138"/>
      <c r="N596" s="29"/>
      <c r="O596" s="29"/>
      <c r="P596" s="49" t="str">
        <f>VLOOKUP(B596,'Форма КП'!$B$27:$G$49,5,FALSE)</f>
        <v>Материал заказчика</v>
      </c>
      <c r="Q596" s="50"/>
      <c r="R596" s="49" t="str">
        <f t="shared" si="351"/>
        <v>Материал заказчика</v>
      </c>
      <c r="S596" s="50"/>
    </row>
    <row r="597" spans="1:19" ht="108" x14ac:dyDescent="0.25">
      <c r="A597" s="127" t="s">
        <v>752</v>
      </c>
      <c r="B597" s="128" t="s">
        <v>505</v>
      </c>
      <c r="C597" s="129" t="s">
        <v>779</v>
      </c>
      <c r="D597" s="130"/>
      <c r="E597" s="127" t="s">
        <v>224</v>
      </c>
      <c r="F597" s="131">
        <f t="shared" si="339"/>
        <v>141.71</v>
      </c>
      <c r="G597" s="113">
        <v>35.69</v>
      </c>
      <c r="H597" s="113">
        <v>35.18</v>
      </c>
      <c r="I597" s="113">
        <v>35.18</v>
      </c>
      <c r="J597" s="113">
        <v>35.659999999999997</v>
      </c>
      <c r="K597" s="137"/>
      <c r="L597" s="137"/>
      <c r="M597" s="137"/>
      <c r="N597" s="104">
        <f>VLOOKUP(B597,'Форма КП'!$B$17:$G$25,5,FALSE)</f>
        <v>0</v>
      </c>
      <c r="O597" s="104">
        <f>N597*F597</f>
        <v>0</v>
      </c>
      <c r="P597" s="104"/>
      <c r="Q597" s="104"/>
      <c r="R597" s="104">
        <f>N597</f>
        <v>0</v>
      </c>
      <c r="S597" s="104">
        <f>N597*F597</f>
        <v>0</v>
      </c>
    </row>
    <row r="598" spans="1:19" x14ac:dyDescent="0.25">
      <c r="A598" s="132" t="s">
        <v>753</v>
      </c>
      <c r="B598" s="128" t="s">
        <v>484</v>
      </c>
      <c r="C598" s="133" t="s">
        <v>225</v>
      </c>
      <c r="D598" s="90">
        <v>0.15</v>
      </c>
      <c r="E598" s="132" t="s">
        <v>226</v>
      </c>
      <c r="F598" s="134">
        <f t="shared" si="339"/>
        <v>21.26</v>
      </c>
      <c r="G598" s="88">
        <f>G597*D598</f>
        <v>5.35</v>
      </c>
      <c r="H598" s="88">
        <f>H597*D598</f>
        <v>5.28</v>
      </c>
      <c r="I598" s="88">
        <f>I597*D598</f>
        <v>5.28</v>
      </c>
      <c r="J598" s="88">
        <f>J597*D598</f>
        <v>5.35</v>
      </c>
      <c r="K598" s="138"/>
      <c r="L598" s="138"/>
      <c r="M598" s="138"/>
      <c r="N598" s="29"/>
      <c r="O598" s="29"/>
      <c r="P598" s="49" t="str">
        <f>VLOOKUP(B598,'Форма КП'!$B$27:$G$49,5,FALSE)</f>
        <v>Материал заказчика</v>
      </c>
      <c r="Q598" s="50"/>
      <c r="R598" s="49" t="str">
        <f t="shared" ref="R598:R599" si="352">P598</f>
        <v>Материал заказчика</v>
      </c>
      <c r="S598" s="50"/>
    </row>
    <row r="599" spans="1:19" ht="24" x14ac:dyDescent="0.25">
      <c r="A599" s="132" t="s">
        <v>754</v>
      </c>
      <c r="B599" s="128" t="s">
        <v>506</v>
      </c>
      <c r="C599" s="133" t="s">
        <v>507</v>
      </c>
      <c r="D599" s="90">
        <v>0.25</v>
      </c>
      <c r="E599" s="132" t="s">
        <v>226</v>
      </c>
      <c r="F599" s="134">
        <f t="shared" si="339"/>
        <v>35.44</v>
      </c>
      <c r="G599" s="88">
        <f>G597*D599</f>
        <v>8.92</v>
      </c>
      <c r="H599" s="88">
        <f>H597*D599</f>
        <v>8.8000000000000007</v>
      </c>
      <c r="I599" s="88">
        <f>I597*D599</f>
        <v>8.8000000000000007</v>
      </c>
      <c r="J599" s="88">
        <f>J597*D599</f>
        <v>8.92</v>
      </c>
      <c r="K599" s="138"/>
      <c r="L599" s="138"/>
      <c r="M599" s="138"/>
      <c r="N599" s="29"/>
      <c r="O599" s="29"/>
      <c r="P599" s="49" t="str">
        <f>VLOOKUP(B599,'Форма КП'!$B$27:$G$49,5,FALSE)</f>
        <v>Материал заказчика</v>
      </c>
      <c r="Q599" s="50"/>
      <c r="R599" s="49" t="str">
        <f t="shared" si="352"/>
        <v>Материал заказчика</v>
      </c>
      <c r="S599" s="50"/>
    </row>
    <row r="600" spans="1:19" ht="108" x14ac:dyDescent="0.25">
      <c r="A600" s="127" t="s">
        <v>755</v>
      </c>
      <c r="B600" s="128" t="s">
        <v>505</v>
      </c>
      <c r="C600" s="129" t="s">
        <v>779</v>
      </c>
      <c r="D600" s="130"/>
      <c r="E600" s="127" t="s">
        <v>224</v>
      </c>
      <c r="F600" s="131">
        <f t="shared" si="339"/>
        <v>26.24</v>
      </c>
      <c r="G600" s="113">
        <f t="shared" ref="G600:J600" si="353">2.43*2.7</f>
        <v>6.56</v>
      </c>
      <c r="H600" s="113">
        <f t="shared" si="353"/>
        <v>6.56</v>
      </c>
      <c r="I600" s="113">
        <f t="shared" si="353"/>
        <v>6.56</v>
      </c>
      <c r="J600" s="113">
        <f t="shared" si="353"/>
        <v>6.56</v>
      </c>
      <c r="K600" s="137"/>
      <c r="L600" s="137"/>
      <c r="M600" s="137"/>
      <c r="N600" s="104">
        <f>VLOOKUP(B600,'Форма КП'!$B$17:$G$25,5,FALSE)</f>
        <v>0</v>
      </c>
      <c r="O600" s="104">
        <f>N600*F600</f>
        <v>0</v>
      </c>
      <c r="P600" s="104"/>
      <c r="Q600" s="104"/>
      <c r="R600" s="104">
        <f>N600</f>
        <v>0</v>
      </c>
      <c r="S600" s="104">
        <f>N600*F600</f>
        <v>0</v>
      </c>
    </row>
    <row r="601" spans="1:19" x14ac:dyDescent="0.25">
      <c r="A601" s="132" t="s">
        <v>756</v>
      </c>
      <c r="B601" s="128" t="s">
        <v>484</v>
      </c>
      <c r="C601" s="133" t="s">
        <v>225</v>
      </c>
      <c r="D601" s="90">
        <v>0.15</v>
      </c>
      <c r="E601" s="132" t="s">
        <v>226</v>
      </c>
      <c r="F601" s="134">
        <f t="shared" si="339"/>
        <v>3.92</v>
      </c>
      <c r="G601" s="88">
        <f>G600*D601</f>
        <v>0.98</v>
      </c>
      <c r="H601" s="88">
        <f>H600*D601</f>
        <v>0.98</v>
      </c>
      <c r="I601" s="88">
        <f>I600*D601</f>
        <v>0.98</v>
      </c>
      <c r="J601" s="88">
        <f>J600*D601</f>
        <v>0.98</v>
      </c>
      <c r="K601" s="138"/>
      <c r="L601" s="138"/>
      <c r="M601" s="138"/>
      <c r="N601" s="29"/>
      <c r="O601" s="29"/>
      <c r="P601" s="49" t="str">
        <f>VLOOKUP(B601,'Форма КП'!$B$27:$G$49,5,FALSE)</f>
        <v>Материал заказчика</v>
      </c>
      <c r="Q601" s="50"/>
      <c r="R601" s="49" t="str">
        <f t="shared" ref="R601:R602" si="354">P601</f>
        <v>Материал заказчика</v>
      </c>
      <c r="S601" s="50"/>
    </row>
    <row r="602" spans="1:19" ht="24" x14ac:dyDescent="0.25">
      <c r="A602" s="132" t="s">
        <v>757</v>
      </c>
      <c r="B602" s="128" t="s">
        <v>508</v>
      </c>
      <c r="C602" s="133" t="s">
        <v>509</v>
      </c>
      <c r="D602" s="90">
        <v>0.25</v>
      </c>
      <c r="E602" s="132" t="s">
        <v>226</v>
      </c>
      <c r="F602" s="134">
        <f t="shared" si="339"/>
        <v>6.56</v>
      </c>
      <c r="G602" s="88">
        <f>G600*D602</f>
        <v>1.64</v>
      </c>
      <c r="H602" s="88">
        <f>H600*D602</f>
        <v>1.64</v>
      </c>
      <c r="I602" s="88">
        <f>I600*D602</f>
        <v>1.64</v>
      </c>
      <c r="J602" s="88">
        <f>J600*D602</f>
        <v>1.64</v>
      </c>
      <c r="K602" s="138"/>
      <c r="L602" s="138"/>
      <c r="M602" s="138"/>
      <c r="N602" s="29"/>
      <c r="O602" s="29"/>
      <c r="P602" s="49" t="str">
        <f>VLOOKUP(B602,'Форма КП'!$B$27:$G$49,5,FALSE)</f>
        <v>Материал заказчика</v>
      </c>
      <c r="Q602" s="50"/>
      <c r="R602" s="49" t="str">
        <f t="shared" si="354"/>
        <v>Материал заказчика</v>
      </c>
      <c r="S602" s="50"/>
    </row>
    <row r="603" spans="1:19" x14ac:dyDescent="0.25">
      <c r="A603" s="126" t="s">
        <v>232</v>
      </c>
      <c r="B603" s="120"/>
      <c r="C603" s="121"/>
      <c r="D603" s="122"/>
      <c r="E603" s="123"/>
      <c r="F603" s="124"/>
      <c r="G603" s="125"/>
      <c r="H603" s="125"/>
      <c r="I603" s="125"/>
      <c r="J603" s="125"/>
      <c r="K603" s="125"/>
      <c r="L603" s="125"/>
      <c r="M603" s="125"/>
      <c r="N603" s="33"/>
      <c r="O603" s="33"/>
      <c r="P603" s="33"/>
      <c r="Q603" s="33"/>
      <c r="R603" s="33"/>
      <c r="S603" s="31"/>
    </row>
    <row r="604" spans="1:19" ht="216" x14ac:dyDescent="0.25">
      <c r="A604" s="127" t="s">
        <v>758</v>
      </c>
      <c r="B604" s="128" t="s">
        <v>510</v>
      </c>
      <c r="C604" s="129" t="s">
        <v>776</v>
      </c>
      <c r="D604" s="130"/>
      <c r="E604" s="127" t="s">
        <v>224</v>
      </c>
      <c r="F604" s="131">
        <f t="shared" ref="F604:F618" si="355">SUM(G604:M604)</f>
        <v>1465.51</v>
      </c>
      <c r="G604" s="113">
        <f>117.7*2.78+7.6*0.68+14.6*1.2+11.8*0.5+3.6*0.48</f>
        <v>357.52</v>
      </c>
      <c r="H604" s="113">
        <f>116.62*2.78+3*0.68+9.8*0.5+11.8*1.2+7.4*0.48</f>
        <v>348.86</v>
      </c>
      <c r="I604" s="113">
        <f>116.62*2.78+3*0.68+9.8*0.5+11.8*1.2+7.4*0.48</f>
        <v>348.86</v>
      </c>
      <c r="J604" s="113">
        <f>135.76*2.78+9.6*0.5+16.5*1.2+9.6*0.68+3.6*0.48</f>
        <v>410.27</v>
      </c>
      <c r="K604" s="137"/>
      <c r="L604" s="137"/>
      <c r="M604" s="137"/>
      <c r="N604" s="104">
        <f>VLOOKUP(B604,'Форма КП'!$B$17:$G$25,5,FALSE)</f>
        <v>0</v>
      </c>
      <c r="O604" s="104">
        <f>N604*F604</f>
        <v>0</v>
      </c>
      <c r="P604" s="104"/>
      <c r="Q604" s="104"/>
      <c r="R604" s="104">
        <f>N604</f>
        <v>0</v>
      </c>
      <c r="S604" s="104">
        <f>N604*F604</f>
        <v>0</v>
      </c>
    </row>
    <row r="605" spans="1:19" x14ac:dyDescent="0.25">
      <c r="A605" s="132" t="s">
        <v>759</v>
      </c>
      <c r="B605" s="128" t="s">
        <v>486</v>
      </c>
      <c r="C605" s="133" t="s">
        <v>487</v>
      </c>
      <c r="D605" s="90">
        <v>1.45</v>
      </c>
      <c r="E605" s="132" t="s">
        <v>6</v>
      </c>
      <c r="F605" s="134">
        <f t="shared" si="355"/>
        <v>2124.9899999999998</v>
      </c>
      <c r="G605" s="88">
        <f>G604*D605</f>
        <v>518.4</v>
      </c>
      <c r="H605" s="88">
        <f>H604*D605</f>
        <v>505.85</v>
      </c>
      <c r="I605" s="88">
        <f>I604*D605</f>
        <v>505.85</v>
      </c>
      <c r="J605" s="88">
        <f>J604*D605</f>
        <v>594.89</v>
      </c>
      <c r="K605" s="138"/>
      <c r="L605" s="138"/>
      <c r="M605" s="138"/>
      <c r="N605" s="29"/>
      <c r="O605" s="29"/>
      <c r="P605" s="86">
        <f>VLOOKUP(B605,'Форма КП'!$B$27:$G$49,5,FALSE)</f>
        <v>0</v>
      </c>
      <c r="Q605" s="86">
        <f t="shared" ref="Q605" si="356">P605*F605</f>
        <v>0</v>
      </c>
      <c r="R605" s="32">
        <f t="shared" ref="R605:R607" si="357">P605</f>
        <v>0</v>
      </c>
      <c r="S605" s="32">
        <f t="shared" ref="S605" si="358">P605*F605</f>
        <v>0</v>
      </c>
    </row>
    <row r="606" spans="1:19" x14ac:dyDescent="0.25">
      <c r="A606" s="132" t="s">
        <v>760</v>
      </c>
      <c r="B606" s="128" t="s">
        <v>488</v>
      </c>
      <c r="C606" s="133" t="s">
        <v>489</v>
      </c>
      <c r="D606" s="90">
        <v>0.2</v>
      </c>
      <c r="E606" s="132" t="s">
        <v>228</v>
      </c>
      <c r="F606" s="134">
        <f t="shared" si="355"/>
        <v>293.08999999999997</v>
      </c>
      <c r="G606" s="88">
        <f>G604*D606</f>
        <v>71.5</v>
      </c>
      <c r="H606" s="88">
        <f>H604*D606</f>
        <v>69.77</v>
      </c>
      <c r="I606" s="88">
        <f>I604*D606</f>
        <v>69.77</v>
      </c>
      <c r="J606" s="88">
        <f>J604*D606</f>
        <v>82.05</v>
      </c>
      <c r="K606" s="138"/>
      <c r="L606" s="138"/>
      <c r="M606" s="138"/>
      <c r="N606" s="29"/>
      <c r="O606" s="29"/>
      <c r="P606" s="49" t="str">
        <f>VLOOKUP(B606,'Форма КП'!$B$27:$G$49,5,FALSE)</f>
        <v>Материал заказчика</v>
      </c>
      <c r="Q606" s="50"/>
      <c r="R606" s="49" t="str">
        <f t="shared" si="357"/>
        <v>Материал заказчика</v>
      </c>
      <c r="S606" s="50"/>
    </row>
    <row r="607" spans="1:19" x14ac:dyDescent="0.25">
      <c r="A607" s="132" t="s">
        <v>761</v>
      </c>
      <c r="B607" s="128" t="s">
        <v>511</v>
      </c>
      <c r="C607" s="133" t="s">
        <v>512</v>
      </c>
      <c r="D607" s="90">
        <v>16</v>
      </c>
      <c r="E607" s="132" t="s">
        <v>228</v>
      </c>
      <c r="F607" s="134">
        <f t="shared" si="355"/>
        <v>23448.16</v>
      </c>
      <c r="G607" s="88">
        <f>G604*D607</f>
        <v>5720.32</v>
      </c>
      <c r="H607" s="88">
        <f>H604*D607</f>
        <v>5581.76</v>
      </c>
      <c r="I607" s="88">
        <f>I604*D607</f>
        <v>5581.76</v>
      </c>
      <c r="J607" s="88">
        <f>J604*D607</f>
        <v>6564.32</v>
      </c>
      <c r="K607" s="138"/>
      <c r="L607" s="138"/>
      <c r="M607" s="138"/>
      <c r="N607" s="29"/>
      <c r="O607" s="29"/>
      <c r="P607" s="49" t="str">
        <f>VLOOKUP(B607,'Форма КП'!$B$27:$G$49,5,FALSE)</f>
        <v>Материал заказчика</v>
      </c>
      <c r="Q607" s="50"/>
      <c r="R607" s="49" t="str">
        <f t="shared" si="357"/>
        <v>Материал заказчика</v>
      </c>
      <c r="S607" s="50"/>
    </row>
    <row r="608" spans="1:19" ht="216" x14ac:dyDescent="0.25">
      <c r="A608" s="127" t="s">
        <v>762</v>
      </c>
      <c r="B608" s="128" t="s">
        <v>510</v>
      </c>
      <c r="C608" s="129" t="s">
        <v>776</v>
      </c>
      <c r="D608" s="130"/>
      <c r="E608" s="127" t="s">
        <v>224</v>
      </c>
      <c r="F608" s="131">
        <f t="shared" si="355"/>
        <v>1374.09</v>
      </c>
      <c r="G608" s="113">
        <f>130*2.78+21.6*0.68</f>
        <v>376.09</v>
      </c>
      <c r="H608" s="113">
        <f>111.56*2.78+17.8*0.68</f>
        <v>322.24</v>
      </c>
      <c r="I608" s="113">
        <f>111.56*2.78+17.8*0.68</f>
        <v>322.24</v>
      </c>
      <c r="J608" s="113">
        <f>121*2.78+25.2*0.68</f>
        <v>353.52</v>
      </c>
      <c r="K608" s="137"/>
      <c r="L608" s="137"/>
      <c r="M608" s="137"/>
      <c r="N608" s="104">
        <f>VLOOKUP(B608,'Форма КП'!$B$17:$G$25,5,FALSE)</f>
        <v>0</v>
      </c>
      <c r="O608" s="104">
        <f>N608*F608</f>
        <v>0</v>
      </c>
      <c r="P608" s="104"/>
      <c r="Q608" s="104"/>
      <c r="R608" s="104">
        <f>N608</f>
        <v>0</v>
      </c>
      <c r="S608" s="104">
        <f>N608*F608</f>
        <v>0</v>
      </c>
    </row>
    <row r="609" spans="1:19" x14ac:dyDescent="0.25">
      <c r="A609" s="132" t="s">
        <v>763</v>
      </c>
      <c r="B609" s="128" t="s">
        <v>486</v>
      </c>
      <c r="C609" s="133" t="s">
        <v>487</v>
      </c>
      <c r="D609" s="90">
        <v>1.45</v>
      </c>
      <c r="E609" s="132" t="s">
        <v>6</v>
      </c>
      <c r="F609" s="134">
        <f t="shared" si="355"/>
        <v>1992.43</v>
      </c>
      <c r="G609" s="88">
        <f>G608*D609</f>
        <v>545.33000000000004</v>
      </c>
      <c r="H609" s="88">
        <f>H608*D609</f>
        <v>467.25</v>
      </c>
      <c r="I609" s="88">
        <f>I608*D609</f>
        <v>467.25</v>
      </c>
      <c r="J609" s="88">
        <f>J608*D609</f>
        <v>512.6</v>
      </c>
      <c r="K609" s="138"/>
      <c r="L609" s="138"/>
      <c r="M609" s="138"/>
      <c r="N609" s="29"/>
      <c r="O609" s="29"/>
      <c r="P609" s="86">
        <f>VLOOKUP(B609,'Форма КП'!$B$27:$G$49,5,FALSE)</f>
        <v>0</v>
      </c>
      <c r="Q609" s="86">
        <f t="shared" ref="Q609" si="359">P609*F609</f>
        <v>0</v>
      </c>
      <c r="R609" s="32">
        <f t="shared" ref="R609:R611" si="360">P609</f>
        <v>0</v>
      </c>
      <c r="S609" s="32">
        <f t="shared" ref="S609" si="361">P609*F609</f>
        <v>0</v>
      </c>
    </row>
    <row r="610" spans="1:19" x14ac:dyDescent="0.25">
      <c r="A610" s="132" t="s">
        <v>764</v>
      </c>
      <c r="B610" s="128" t="s">
        <v>484</v>
      </c>
      <c r="C610" s="133" t="s">
        <v>225</v>
      </c>
      <c r="D610" s="90">
        <v>0.4</v>
      </c>
      <c r="E610" s="132" t="s">
        <v>226</v>
      </c>
      <c r="F610" s="134">
        <f t="shared" si="355"/>
        <v>549.65</v>
      </c>
      <c r="G610" s="88">
        <f>G608*D610</f>
        <v>150.44</v>
      </c>
      <c r="H610" s="88">
        <f>H608*D610</f>
        <v>128.9</v>
      </c>
      <c r="I610" s="88">
        <f>I608*D610</f>
        <v>128.9</v>
      </c>
      <c r="J610" s="88">
        <f>J608*D610</f>
        <v>141.41</v>
      </c>
      <c r="K610" s="138"/>
      <c r="L610" s="138"/>
      <c r="M610" s="138"/>
      <c r="N610" s="29"/>
      <c r="O610" s="29"/>
      <c r="P610" s="49" t="str">
        <f>VLOOKUP(B610,'Форма КП'!$B$27:$G$49,5,FALSE)</f>
        <v>Материал заказчика</v>
      </c>
      <c r="Q610" s="50"/>
      <c r="R610" s="49" t="str">
        <f t="shared" si="360"/>
        <v>Материал заказчика</v>
      </c>
      <c r="S610" s="50"/>
    </row>
    <row r="611" spans="1:19" x14ac:dyDescent="0.25">
      <c r="A611" s="132" t="s">
        <v>765</v>
      </c>
      <c r="B611" s="128" t="s">
        <v>511</v>
      </c>
      <c r="C611" s="133" t="s">
        <v>512</v>
      </c>
      <c r="D611" s="90">
        <v>16</v>
      </c>
      <c r="E611" s="132" t="s">
        <v>228</v>
      </c>
      <c r="F611" s="134">
        <f t="shared" si="355"/>
        <v>21985.439999999999</v>
      </c>
      <c r="G611" s="88">
        <f>G608*D611</f>
        <v>6017.44</v>
      </c>
      <c r="H611" s="88">
        <f>H608*D611</f>
        <v>5155.84</v>
      </c>
      <c r="I611" s="88">
        <f>I608*D611</f>
        <v>5155.84</v>
      </c>
      <c r="J611" s="88">
        <f>J608*D611</f>
        <v>5656.32</v>
      </c>
      <c r="K611" s="138"/>
      <c r="L611" s="138"/>
      <c r="M611" s="138"/>
      <c r="N611" s="29"/>
      <c r="O611" s="29"/>
      <c r="P611" s="49" t="str">
        <f>VLOOKUP(B611,'Форма КП'!$B$27:$G$49,5,FALSE)</f>
        <v>Материал заказчика</v>
      </c>
      <c r="Q611" s="50"/>
      <c r="R611" s="49" t="str">
        <f t="shared" si="360"/>
        <v>Материал заказчика</v>
      </c>
      <c r="S611" s="50"/>
    </row>
    <row r="612" spans="1:19" ht="132" x14ac:dyDescent="0.25">
      <c r="A612" s="127" t="s">
        <v>766</v>
      </c>
      <c r="B612" s="128" t="s">
        <v>481</v>
      </c>
      <c r="C612" s="129" t="s">
        <v>778</v>
      </c>
      <c r="D612" s="130"/>
      <c r="E612" s="127" t="s">
        <v>224</v>
      </c>
      <c r="F612" s="131">
        <f t="shared" si="355"/>
        <v>733.61</v>
      </c>
      <c r="G612" s="116">
        <f>G608+G604</f>
        <v>733.61</v>
      </c>
      <c r="H612" s="116"/>
      <c r="I612" s="116"/>
      <c r="J612" s="116"/>
      <c r="K612" s="137"/>
      <c r="L612" s="137"/>
      <c r="M612" s="137"/>
      <c r="N612" s="104">
        <f>VLOOKUP(B612,'Форма КП'!$B$17:$G$25,5,FALSE)</f>
        <v>0</v>
      </c>
      <c r="O612" s="104">
        <f>N612*F612</f>
        <v>0</v>
      </c>
      <c r="P612" s="104"/>
      <c r="Q612" s="104"/>
      <c r="R612" s="104">
        <f>N612</f>
        <v>0</v>
      </c>
      <c r="S612" s="104">
        <f>N612*F612</f>
        <v>0</v>
      </c>
    </row>
    <row r="613" spans="1:19" x14ac:dyDescent="0.25">
      <c r="A613" s="132" t="s">
        <v>767</v>
      </c>
      <c r="B613" s="128" t="s">
        <v>482</v>
      </c>
      <c r="C613" s="133" t="s">
        <v>483</v>
      </c>
      <c r="D613" s="136">
        <v>2.4</v>
      </c>
      <c r="E613" s="132" t="s">
        <v>228</v>
      </c>
      <c r="F613" s="134">
        <f t="shared" si="355"/>
        <v>1760.66</v>
      </c>
      <c r="G613" s="88">
        <f>G612*D613</f>
        <v>1760.66</v>
      </c>
      <c r="H613" s="88">
        <f>H612*D613</f>
        <v>0</v>
      </c>
      <c r="I613" s="88">
        <f>I612*D613</f>
        <v>0</v>
      </c>
      <c r="J613" s="88">
        <f>J612*D613</f>
        <v>0</v>
      </c>
      <c r="K613" s="138"/>
      <c r="L613" s="138"/>
      <c r="M613" s="138"/>
      <c r="N613" s="29"/>
      <c r="O613" s="29"/>
      <c r="P613" s="49" t="str">
        <f>VLOOKUP(B613,'Форма КП'!$B$27:$G$49,5,FALSE)</f>
        <v>Материал заказчика</v>
      </c>
      <c r="Q613" s="50"/>
      <c r="R613" s="49" t="str">
        <f t="shared" ref="R613:R614" si="362">P613</f>
        <v>Материал заказчика</v>
      </c>
      <c r="S613" s="50"/>
    </row>
    <row r="614" spans="1:19" x14ac:dyDescent="0.25">
      <c r="A614" s="132" t="s">
        <v>768</v>
      </c>
      <c r="B614" s="128" t="s">
        <v>484</v>
      </c>
      <c r="C614" s="133" t="s">
        <v>225</v>
      </c>
      <c r="D614" s="136">
        <v>0.15</v>
      </c>
      <c r="E614" s="132" t="s">
        <v>226</v>
      </c>
      <c r="F614" s="134">
        <f t="shared" si="355"/>
        <v>110.04</v>
      </c>
      <c r="G614" s="88">
        <f>G612*D614</f>
        <v>110.04</v>
      </c>
      <c r="H614" s="88">
        <f>H612*D614</f>
        <v>0</v>
      </c>
      <c r="I614" s="88">
        <f>I612*D614</f>
        <v>0</v>
      </c>
      <c r="J614" s="88">
        <f>J612*D614</f>
        <v>0</v>
      </c>
      <c r="K614" s="138"/>
      <c r="L614" s="138"/>
      <c r="M614" s="138"/>
      <c r="N614" s="29"/>
      <c r="O614" s="29"/>
      <c r="P614" s="49" t="str">
        <f>VLOOKUP(B614,'Форма КП'!$B$27:$G$49,5,FALSE)</f>
        <v>Материал заказчика</v>
      </c>
      <c r="Q614" s="50"/>
      <c r="R614" s="49" t="str">
        <f t="shared" si="362"/>
        <v>Материал заказчика</v>
      </c>
      <c r="S614" s="50"/>
    </row>
    <row r="615" spans="1:19" ht="264" x14ac:dyDescent="0.25">
      <c r="A615" s="127" t="s">
        <v>769</v>
      </c>
      <c r="B615" s="128" t="s">
        <v>474</v>
      </c>
      <c r="C615" s="129" t="s">
        <v>782</v>
      </c>
      <c r="D615" s="130"/>
      <c r="E615" s="127" t="s">
        <v>224</v>
      </c>
      <c r="F615" s="131">
        <f t="shared" si="355"/>
        <v>64.22</v>
      </c>
      <c r="G615" s="115">
        <f>6.66*2.75+1.02*2.81</f>
        <v>21.18</v>
      </c>
      <c r="H615" s="115">
        <f>3.48*2.75</f>
        <v>9.57</v>
      </c>
      <c r="I615" s="115">
        <f>3.48*2.75</f>
        <v>9.57</v>
      </c>
      <c r="J615" s="115">
        <f>8.69*2.75</f>
        <v>23.9</v>
      </c>
      <c r="K615" s="137"/>
      <c r="L615" s="137"/>
      <c r="M615" s="137"/>
      <c r="N615" s="104">
        <f>VLOOKUP(B615,'Форма КП'!$B$17:$G$25,5,FALSE)</f>
        <v>0</v>
      </c>
      <c r="O615" s="104">
        <f>N615*F615</f>
        <v>0</v>
      </c>
      <c r="P615" s="104"/>
      <c r="Q615" s="104"/>
      <c r="R615" s="104">
        <f>N615</f>
        <v>0</v>
      </c>
      <c r="S615" s="104">
        <f>N615*F615</f>
        <v>0</v>
      </c>
    </row>
    <row r="616" spans="1:19" x14ac:dyDescent="0.25">
      <c r="A616" s="132" t="s">
        <v>770</v>
      </c>
      <c r="B616" s="128" t="s">
        <v>524</v>
      </c>
      <c r="C616" s="133" t="s">
        <v>525</v>
      </c>
      <c r="D616" s="90">
        <v>2.25</v>
      </c>
      <c r="E616" s="132" t="s">
        <v>224</v>
      </c>
      <c r="F616" s="134">
        <f t="shared" si="355"/>
        <v>144.5</v>
      </c>
      <c r="G616" s="88">
        <f>G615*D616</f>
        <v>47.66</v>
      </c>
      <c r="H616" s="88">
        <f>H615*D616</f>
        <v>21.53</v>
      </c>
      <c r="I616" s="88">
        <f>I615*D616</f>
        <v>21.53</v>
      </c>
      <c r="J616" s="88">
        <f>J615*D616</f>
        <v>53.78</v>
      </c>
      <c r="K616" s="138"/>
      <c r="L616" s="138"/>
      <c r="M616" s="138"/>
      <c r="N616" s="29"/>
      <c r="O616" s="29"/>
      <c r="P616" s="86">
        <f>VLOOKUP(B616,'Форма КП'!$B$27:$G$49,5,FALSE)</f>
        <v>0</v>
      </c>
      <c r="Q616" s="86">
        <f t="shared" ref="Q616:Q618" si="363">P616*F616</f>
        <v>0</v>
      </c>
      <c r="R616" s="32">
        <f t="shared" ref="R616:R618" si="364">P616</f>
        <v>0</v>
      </c>
      <c r="S616" s="32">
        <f t="shared" ref="S616:S618" si="365">P616*F616</f>
        <v>0</v>
      </c>
    </row>
    <row r="617" spans="1:19" x14ac:dyDescent="0.25">
      <c r="A617" s="132" t="s">
        <v>771</v>
      </c>
      <c r="B617" s="128" t="s">
        <v>477</v>
      </c>
      <c r="C617" s="133" t="s">
        <v>478</v>
      </c>
      <c r="D617" s="90">
        <v>0.86</v>
      </c>
      <c r="E617" s="132" t="s">
        <v>6</v>
      </c>
      <c r="F617" s="134">
        <f t="shared" si="355"/>
        <v>55.22</v>
      </c>
      <c r="G617" s="88">
        <f>G615*D617</f>
        <v>18.21</v>
      </c>
      <c r="H617" s="88">
        <f>H615*D617</f>
        <v>8.23</v>
      </c>
      <c r="I617" s="88">
        <f>I615*D617</f>
        <v>8.23</v>
      </c>
      <c r="J617" s="88">
        <f>J615*D617</f>
        <v>20.55</v>
      </c>
      <c r="K617" s="138"/>
      <c r="L617" s="138"/>
      <c r="M617" s="138"/>
      <c r="N617" s="29"/>
      <c r="O617" s="29"/>
      <c r="P617" s="86">
        <f>VLOOKUP(B617,'Форма КП'!$B$27:$G$49,5,FALSE)</f>
        <v>0</v>
      </c>
      <c r="Q617" s="86">
        <f t="shared" si="363"/>
        <v>0</v>
      </c>
      <c r="R617" s="32">
        <f t="shared" si="364"/>
        <v>0</v>
      </c>
      <c r="S617" s="32">
        <f t="shared" si="365"/>
        <v>0</v>
      </c>
    </row>
    <row r="618" spans="1:19" x14ac:dyDescent="0.25">
      <c r="A618" s="132" t="s">
        <v>772</v>
      </c>
      <c r="B618" s="128" t="s">
        <v>479</v>
      </c>
      <c r="C618" s="133" t="s">
        <v>480</v>
      </c>
      <c r="D618" s="90">
        <v>2.34</v>
      </c>
      <c r="E618" s="132" t="s">
        <v>6</v>
      </c>
      <c r="F618" s="134">
        <f t="shared" si="355"/>
        <v>150.27000000000001</v>
      </c>
      <c r="G618" s="88">
        <f>G615*D618</f>
        <v>49.56</v>
      </c>
      <c r="H618" s="88">
        <f>H615*D618</f>
        <v>22.39</v>
      </c>
      <c r="I618" s="88">
        <f>I615*D618</f>
        <v>22.39</v>
      </c>
      <c r="J618" s="88">
        <f>J615*D618</f>
        <v>55.93</v>
      </c>
      <c r="K618" s="138"/>
      <c r="L618" s="138"/>
      <c r="M618" s="138"/>
      <c r="N618" s="29"/>
      <c r="O618" s="29"/>
      <c r="P618" s="86">
        <f>VLOOKUP(B618,'Форма КП'!$B$27:$G$49,5,FALSE)</f>
        <v>0</v>
      </c>
      <c r="Q618" s="86">
        <f t="shared" si="363"/>
        <v>0</v>
      </c>
      <c r="R618" s="32">
        <f t="shared" si="364"/>
        <v>0</v>
      </c>
      <c r="S618" s="32">
        <f t="shared" si="365"/>
        <v>0</v>
      </c>
    </row>
    <row r="619" spans="1:19" x14ac:dyDescent="0.25">
      <c r="A619" s="204" t="s">
        <v>22</v>
      </c>
      <c r="B619" s="205"/>
      <c r="C619" s="205"/>
      <c r="D619" s="205"/>
      <c r="E619" s="205"/>
      <c r="F619" s="205"/>
      <c r="G619" s="205"/>
      <c r="H619" s="205"/>
      <c r="I619" s="205"/>
      <c r="J619" s="205"/>
      <c r="K619" s="205"/>
      <c r="L619" s="205"/>
      <c r="M619" s="205"/>
      <c r="N619" s="205"/>
      <c r="O619" s="205"/>
      <c r="P619" s="205"/>
      <c r="Q619" s="205"/>
      <c r="R619" s="206"/>
      <c r="S619" s="12">
        <f>SUM(S17:S618)</f>
        <v>0</v>
      </c>
    </row>
    <row r="620" spans="1:19" x14ac:dyDescent="0.25">
      <c r="A620" s="221" t="s">
        <v>24</v>
      </c>
      <c r="B620" s="222"/>
      <c r="C620" s="222"/>
      <c r="D620" s="222"/>
      <c r="E620" s="222"/>
      <c r="F620" s="222"/>
      <c r="G620" s="222"/>
      <c r="H620" s="222"/>
      <c r="I620" s="222"/>
      <c r="J620" s="222"/>
      <c r="K620" s="222"/>
      <c r="L620" s="222"/>
      <c r="M620" s="222"/>
      <c r="N620" s="222"/>
      <c r="O620" s="222"/>
      <c r="P620" s="222"/>
      <c r="Q620" s="222"/>
      <c r="R620" s="223"/>
      <c r="S620" s="13">
        <f>SUM(O17:O618)</f>
        <v>0</v>
      </c>
    </row>
    <row r="621" spans="1:19" x14ac:dyDescent="0.25">
      <c r="A621" s="221" t="s">
        <v>25</v>
      </c>
      <c r="B621" s="222"/>
      <c r="C621" s="222"/>
      <c r="D621" s="222"/>
      <c r="E621" s="222"/>
      <c r="F621" s="222"/>
      <c r="G621" s="222"/>
      <c r="H621" s="222"/>
      <c r="I621" s="222"/>
      <c r="J621" s="222"/>
      <c r="K621" s="222"/>
      <c r="L621" s="222"/>
      <c r="M621" s="222"/>
      <c r="N621" s="222"/>
      <c r="O621" s="222"/>
      <c r="P621" s="222"/>
      <c r="Q621" s="222"/>
      <c r="R621" s="223"/>
      <c r="S621" s="13">
        <f>SUM(Q17:Q618)</f>
        <v>0</v>
      </c>
    </row>
    <row r="622" spans="1:19" x14ac:dyDescent="0.25">
      <c r="A622" s="218" t="s">
        <v>21</v>
      </c>
      <c r="B622" s="219"/>
      <c r="C622" s="219"/>
      <c r="D622" s="219"/>
      <c r="E622" s="219"/>
      <c r="F622" s="219"/>
      <c r="G622" s="219"/>
      <c r="H622" s="219"/>
      <c r="I622" s="219"/>
      <c r="J622" s="219"/>
      <c r="K622" s="219"/>
      <c r="L622" s="219"/>
      <c r="M622" s="219"/>
      <c r="N622" s="219"/>
      <c r="O622" s="219"/>
      <c r="P622" s="219"/>
      <c r="Q622" s="219"/>
      <c r="R622" s="220"/>
      <c r="S622" s="12">
        <f>IF('Форма КП'!E59&lt;20%,S621*0.2,0)</f>
        <v>0</v>
      </c>
    </row>
    <row r="623" spans="1:19" x14ac:dyDescent="0.25">
      <c r="A623" s="204" t="str">
        <f>IF('Форма КП'!E59=0,"Без НДС в связи с применением УСН","НДС " &amp; TEXT('Форма КП'!E59,"0%"))</f>
        <v>Без НДС в связи с применением УСН</v>
      </c>
      <c r="B623" s="205"/>
      <c r="C623" s="205"/>
      <c r="D623" s="205"/>
      <c r="E623" s="205"/>
      <c r="F623" s="205"/>
      <c r="G623" s="205"/>
      <c r="H623" s="205"/>
      <c r="I623" s="205"/>
      <c r="J623" s="205"/>
      <c r="K623" s="205"/>
      <c r="L623" s="205"/>
      <c r="M623" s="205"/>
      <c r="N623" s="205"/>
      <c r="O623" s="205"/>
      <c r="P623" s="205"/>
      <c r="Q623" s="205"/>
      <c r="R623" s="206"/>
      <c r="S623" s="12">
        <f>SUM(S620:S622)*'Форма КП'!E59</f>
        <v>0</v>
      </c>
    </row>
    <row r="624" spans="1:19" x14ac:dyDescent="0.25">
      <c r="A624" s="204" t="s">
        <v>22</v>
      </c>
      <c r="B624" s="205"/>
      <c r="C624" s="205"/>
      <c r="D624" s="205"/>
      <c r="E624" s="205"/>
      <c r="F624" s="205"/>
      <c r="G624" s="205"/>
      <c r="H624" s="205"/>
      <c r="I624" s="205"/>
      <c r="J624" s="205"/>
      <c r="K624" s="205"/>
      <c r="L624" s="205"/>
      <c r="M624" s="205"/>
      <c r="N624" s="205"/>
      <c r="O624" s="205"/>
      <c r="P624" s="205"/>
      <c r="Q624" s="205"/>
      <c r="R624" s="206"/>
      <c r="S624" s="12">
        <f>S619+S622+S623</f>
        <v>0</v>
      </c>
    </row>
  </sheetData>
  <sheetProtection algorithmName="SHA-512" hashValue="2ptaSx4HMd7bSDs3MWg6H5Z/oq0TQgHv53iBDErkmXar7qgAjjZR1XKvfpVK54Eqk0ZQLOQxxJmHzGXXoi8yaA==" saltValue="9OQlz7Qenkw4rVYXx2+YcA==" spinCount="100000" sheet="1" objects="1" scenarios="1"/>
  <protectedRanges>
    <protectedRange sqref="A2:B7 A622:S623" name="Диапазон1"/>
  </protectedRanges>
  <autoFilter ref="A14:S624" xr:uid="{42046CDE-82AB-4DBE-B472-CB9E54D5A036}">
    <filterColumn colId="13" showButton="0"/>
    <filterColumn colId="14" showButton="0"/>
    <filterColumn colId="15" showButton="0"/>
    <filterColumn colId="17" showButton="0"/>
  </autoFilter>
  <mergeCells count="34">
    <mergeCell ref="A622:R622"/>
    <mergeCell ref="A620:R620"/>
    <mergeCell ref="A621:R621"/>
    <mergeCell ref="A623:R623"/>
    <mergeCell ref="A624:R624"/>
    <mergeCell ref="A619:R619"/>
    <mergeCell ref="N14:Q14"/>
    <mergeCell ref="R14:S14"/>
    <mergeCell ref="O15:O16"/>
    <mergeCell ref="P15:P16"/>
    <mergeCell ref="Q15:Q16"/>
    <mergeCell ref="R15:R16"/>
    <mergeCell ref="S15:S16"/>
    <mergeCell ref="A14:A16"/>
    <mergeCell ref="B14:B16"/>
    <mergeCell ref="C14:C16"/>
    <mergeCell ref="E14:E16"/>
    <mergeCell ref="F14:F16"/>
    <mergeCell ref="N15:N16"/>
    <mergeCell ref="G14:G16"/>
    <mergeCell ref="H14:H16"/>
    <mergeCell ref="M14:M16"/>
    <mergeCell ref="A11:S11"/>
    <mergeCell ref="A12:S12"/>
    <mergeCell ref="A2:B2"/>
    <mergeCell ref="A3:B3"/>
    <mergeCell ref="A4:B4"/>
    <mergeCell ref="A5:B5"/>
    <mergeCell ref="A10:S10"/>
    <mergeCell ref="D14:D16"/>
    <mergeCell ref="I14:I16"/>
    <mergeCell ref="J14:J16"/>
    <mergeCell ref="K14:K16"/>
    <mergeCell ref="L14:L16"/>
  </mergeCells>
  <phoneticPr fontId="2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F7F83-24D2-4690-8D30-FBE5F45EEF2C}">
  <dimension ref="A1:F22"/>
  <sheetViews>
    <sheetView view="pageBreakPreview" zoomScaleNormal="100" zoomScaleSheetLayoutView="100" workbookViewId="0">
      <selection activeCell="E4" sqref="E4"/>
    </sheetView>
  </sheetViews>
  <sheetFormatPr defaultRowHeight="15" x14ac:dyDescent="0.25"/>
  <cols>
    <col min="2" max="2" width="4.42578125" bestFit="1" customWidth="1"/>
    <col min="3" max="3" width="66.7109375" customWidth="1"/>
    <col min="4" max="4" width="12.85546875" customWidth="1"/>
    <col min="5" max="5" width="17.7109375" customWidth="1"/>
  </cols>
  <sheetData>
    <row r="1" spans="1:6" ht="15.75" x14ac:dyDescent="0.25">
      <c r="A1" s="6"/>
      <c r="B1" s="6"/>
      <c r="C1" s="6"/>
      <c r="D1" s="6"/>
      <c r="E1" s="6"/>
    </row>
    <row r="2" spans="1:6" ht="15.75" x14ac:dyDescent="0.25">
      <c r="A2" s="6"/>
      <c r="B2" s="6"/>
      <c r="C2" s="6"/>
      <c r="D2" s="6"/>
      <c r="E2" s="6"/>
    </row>
    <row r="3" spans="1:6" ht="15.75" x14ac:dyDescent="0.25">
      <c r="A3" s="6"/>
      <c r="B3" s="224" t="s">
        <v>68</v>
      </c>
      <c r="C3" s="224"/>
      <c r="D3" s="224"/>
      <c r="E3" s="224"/>
    </row>
    <row r="4" spans="1:6" ht="15.75" x14ac:dyDescent="0.25">
      <c r="A4" s="6"/>
      <c r="B4" s="6"/>
      <c r="C4" s="6"/>
      <c r="D4" s="6"/>
      <c r="E4" s="6"/>
    </row>
    <row r="5" spans="1:6" ht="15.75" x14ac:dyDescent="0.25">
      <c r="A5" s="6"/>
      <c r="B5" s="2" t="s">
        <v>69</v>
      </c>
      <c r="C5" s="2" t="s">
        <v>70</v>
      </c>
      <c r="D5" s="2" t="s">
        <v>71</v>
      </c>
      <c r="E5" s="2" t="s">
        <v>15</v>
      </c>
    </row>
    <row r="6" spans="1:6" ht="15.75" x14ac:dyDescent="0.25">
      <c r="B6" s="2">
        <v>1</v>
      </c>
      <c r="C6" s="4" t="str">
        <f>'Форма КП'!C27</f>
        <v>Грунтовка глубокого проникновения</v>
      </c>
      <c r="D6" s="25" t="str">
        <f>'Форма КП'!D27</f>
        <v>л</v>
      </c>
      <c r="E6" s="80">
        <f>'Форма КП'!E27</f>
        <v>16240.25</v>
      </c>
      <c r="F6" s="139"/>
    </row>
    <row r="7" spans="1:6" ht="31.5" x14ac:dyDescent="0.25">
      <c r="B7" s="2">
        <v>2</v>
      </c>
      <c r="C7" s="4" t="str">
        <f>'Форма КП'!C28</f>
        <v>Краска влагостойкая для сухих и влажных помещений колерованная RAL6026</v>
      </c>
      <c r="D7" s="25" t="str">
        <f>'Форма КП'!D28</f>
        <v>л</v>
      </c>
      <c r="E7" s="80">
        <f>'Форма КП'!E28</f>
        <v>147.22</v>
      </c>
      <c r="F7" s="139"/>
    </row>
    <row r="8" spans="1:6" ht="31.5" x14ac:dyDescent="0.25">
      <c r="B8" s="2">
        <v>3</v>
      </c>
      <c r="C8" s="4" t="str">
        <f>'Форма КП'!C29</f>
        <v>Краска влагостойкая для сухих и влажных помещений колерованная RAL7040</v>
      </c>
      <c r="D8" s="25" t="str">
        <f>'Форма КП'!D29</f>
        <v>л</v>
      </c>
      <c r="E8" s="80">
        <f>'Форма КП'!E29</f>
        <v>941.19</v>
      </c>
      <c r="F8" s="139"/>
    </row>
    <row r="9" spans="1:6" ht="31.5" x14ac:dyDescent="0.25">
      <c r="B9" s="2">
        <v>4</v>
      </c>
      <c r="C9" s="4" t="str">
        <f>'Форма КП'!C30</f>
        <v>Краска влагостойкая для сухих и влажных помещений колерованная RAL9003</v>
      </c>
      <c r="D9" s="25" t="str">
        <f>'Форма КП'!D30</f>
        <v>л</v>
      </c>
      <c r="E9" s="80">
        <f>'Форма КП'!E30</f>
        <v>258.26</v>
      </c>
      <c r="F9" s="139"/>
    </row>
    <row r="10" spans="1:6" ht="15.75" x14ac:dyDescent="0.25">
      <c r="B10" s="2">
        <v>5</v>
      </c>
      <c r="C10" s="4" t="str">
        <f>'Форма КП'!C31</f>
        <v>Угловой профиль для стыковки керамогранита</v>
      </c>
      <c r="D10" s="25" t="str">
        <f>'Форма КП'!D31</f>
        <v>м</v>
      </c>
      <c r="E10" s="80">
        <f>'Форма КП'!E31</f>
        <v>102.5</v>
      </c>
      <c r="F10" s="139"/>
    </row>
    <row r="11" spans="1:6" ht="15.75" x14ac:dyDescent="0.25">
      <c r="B11" s="2">
        <v>6</v>
      </c>
      <c r="C11" s="4" t="str">
        <f>'Форма КП'!C34</f>
        <v>Керамогранит Italon Волнат 1200*200 мм</v>
      </c>
      <c r="D11" s="25" t="str">
        <f>'Форма КП'!D34</f>
        <v>м2</v>
      </c>
      <c r="E11" s="80">
        <f>'Форма КП'!E34</f>
        <v>313.45999999999998</v>
      </c>
      <c r="F11" s="139"/>
    </row>
    <row r="12" spans="1:6" ht="15.75" x14ac:dyDescent="0.25">
      <c r="B12" s="2">
        <v>7</v>
      </c>
      <c r="C12" s="4" t="str">
        <f>'Форма КП'!C35</f>
        <v>Керамогранит Italon Континнум Силвер 1200х600</v>
      </c>
      <c r="D12" s="25" t="str">
        <f>'Форма КП'!D35</f>
        <v>м2</v>
      </c>
      <c r="E12" s="80">
        <f>'Форма КП'!E35</f>
        <v>518.58000000000004</v>
      </c>
      <c r="F12" s="139"/>
    </row>
    <row r="13" spans="1:6" ht="15.75" x14ac:dyDescent="0.25">
      <c r="B13" s="2">
        <v>8</v>
      </c>
      <c r="C13" s="4" t="str">
        <f>'Форма КП'!C36</f>
        <v>Керамогранит Гранитея Sugomak бежевый матовый 600х600</v>
      </c>
      <c r="D13" s="25" t="str">
        <f>'Форма КП'!D36</f>
        <v>м2</v>
      </c>
      <c r="E13" s="80">
        <f>'Форма КП'!E36</f>
        <v>178.79</v>
      </c>
      <c r="F13" s="139"/>
    </row>
    <row r="14" spans="1:6" ht="15.75" x14ac:dyDescent="0.25">
      <c r="B14" s="2">
        <v>9</v>
      </c>
      <c r="C14" s="4" t="str">
        <f>'Форма КП'!C38</f>
        <v>Грунтовка акриловая бетоноконтакт</v>
      </c>
      <c r="D14" s="25" t="str">
        <f>'Форма КП'!D38</f>
        <v>кг</v>
      </c>
      <c r="E14" s="80">
        <f>'Форма КП'!E38</f>
        <v>7139.41</v>
      </c>
      <c r="F14" s="139"/>
    </row>
    <row r="15" spans="1:6" ht="15.75" x14ac:dyDescent="0.25">
      <c r="B15" s="2">
        <v>10</v>
      </c>
      <c r="C15" s="4" t="str">
        <f>'Форма КП'!C39</f>
        <v>Затирка цементная</v>
      </c>
      <c r="D15" s="25" t="str">
        <f>'Форма КП'!D39</f>
        <v>кг</v>
      </c>
      <c r="E15" s="80">
        <f>'Форма КП'!E39</f>
        <v>63.33</v>
      </c>
      <c r="F15" s="139"/>
    </row>
    <row r="16" spans="1:6" ht="15.75" x14ac:dyDescent="0.25">
      <c r="B16" s="2">
        <v>11</v>
      </c>
      <c r="C16" s="4" t="str">
        <f>'Форма КП'!C40</f>
        <v>Затирка цементная серая</v>
      </c>
      <c r="D16" s="25" t="str">
        <f>'Форма КП'!D40</f>
        <v>кг</v>
      </c>
      <c r="E16" s="80">
        <f>'Форма КП'!E40</f>
        <v>88.88</v>
      </c>
      <c r="F16" s="139"/>
    </row>
    <row r="17" spans="2:6" ht="15.75" x14ac:dyDescent="0.25">
      <c r="B17" s="2">
        <v>12</v>
      </c>
      <c r="C17" s="4" t="str">
        <f>'Форма КП'!C41</f>
        <v>Затирка цементная темно-коричневая</v>
      </c>
      <c r="D17" s="25" t="str">
        <f>'Форма КП'!D41</f>
        <v>кг</v>
      </c>
      <c r="E17" s="80">
        <f>'Форма КП'!E41</f>
        <v>40.33</v>
      </c>
      <c r="F17" s="139"/>
    </row>
    <row r="18" spans="2:6" ht="15.75" x14ac:dyDescent="0.25">
      <c r="B18" s="2">
        <v>13</v>
      </c>
      <c r="C18" s="4" t="str">
        <f>'Форма КП'!C42</f>
        <v>Клей плиточный</v>
      </c>
      <c r="D18" s="25" t="str">
        <f>'Форма КП'!D42</f>
        <v>кг</v>
      </c>
      <c r="E18" s="80">
        <f>'Форма КП'!E42</f>
        <v>9626.5</v>
      </c>
      <c r="F18" s="139"/>
    </row>
    <row r="19" spans="2:6" ht="15.75" x14ac:dyDescent="0.25">
      <c r="B19" s="2">
        <v>14</v>
      </c>
      <c r="C19" s="4" t="str">
        <f>'Форма КП'!C43</f>
        <v>Шпатлевка полимерная</v>
      </c>
      <c r="D19" s="25" t="str">
        <f>'Форма КП'!D43</f>
        <v>кг</v>
      </c>
      <c r="E19" s="80">
        <f>'Форма КП'!E43</f>
        <v>50523.09</v>
      </c>
      <c r="F19" s="139"/>
    </row>
    <row r="20" spans="2:6" ht="15.75" x14ac:dyDescent="0.25">
      <c r="B20" s="2">
        <v>15</v>
      </c>
      <c r="C20" s="4" t="str">
        <f>'Форма КП'!C44</f>
        <v>Штукатурка гипсовая</v>
      </c>
      <c r="D20" s="25" t="str">
        <f>'Форма КП'!D44</f>
        <v>кг</v>
      </c>
      <c r="E20" s="80">
        <f>'Форма КП'!E44</f>
        <v>1004016.32</v>
      </c>
      <c r="F20" s="139"/>
    </row>
    <row r="21" spans="2:6" ht="15.75" x14ac:dyDescent="0.25">
      <c r="B21" s="2">
        <v>16</v>
      </c>
      <c r="C21" s="4" t="str">
        <f>'Форма КП'!C45</f>
        <v>Штукатурка цементная</v>
      </c>
      <c r="D21" s="25" t="str">
        <f>'Форма КП'!D45</f>
        <v>кг</v>
      </c>
      <c r="E21" s="80">
        <f>'Форма КП'!E45</f>
        <v>6839.2</v>
      </c>
      <c r="F21" s="139"/>
    </row>
    <row r="22" spans="2:6" ht="15.75" x14ac:dyDescent="0.25">
      <c r="B22" s="2">
        <v>17</v>
      </c>
      <c r="C22" s="4" t="str">
        <f>'Форма КП'!C46</f>
        <v>Штукатурка цементная декоративная "Короед"</v>
      </c>
      <c r="D22" s="25" t="str">
        <f>'Форма КП'!D46</f>
        <v>кг</v>
      </c>
      <c r="E22" s="80">
        <f>'Форма КП'!E46</f>
        <v>39288.9</v>
      </c>
      <c r="F22" s="139"/>
    </row>
  </sheetData>
  <sheetProtection algorithmName="SHA-512" hashValue="anTak1QPYiGuFXBV6/dIjw8wDSU3/8EdaikOQTwE9BrVAxiddBffF/H4u8oGG8452fYnRB7fRl8fPbF2PCMtcg==" saltValue="xyxlwT8YTtuCd2GDuTzryQ==" spinCount="100000" sheet="1" objects="1" scenarios="1"/>
  <mergeCells count="1">
    <mergeCell ref="B3:E3"/>
  </mergeCells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E52A3-896F-4ECB-8B14-DC56680BDD3E}">
  <sheetPr>
    <tabColor theme="4" tint="0.79998168889431442"/>
  </sheetPr>
  <dimension ref="A1:NE30"/>
  <sheetViews>
    <sheetView workbookViewId="0">
      <selection activeCell="B1" sqref="B1"/>
    </sheetView>
  </sheetViews>
  <sheetFormatPr defaultRowHeight="15" x14ac:dyDescent="0.25"/>
  <cols>
    <col min="1" max="1" width="5.140625" bestFit="1" customWidth="1"/>
    <col min="2" max="2" width="60.28515625" bestFit="1" customWidth="1"/>
    <col min="3" max="4" width="11.7109375" customWidth="1"/>
    <col min="5" max="369" width="1.42578125" customWidth="1"/>
  </cols>
  <sheetData>
    <row r="1" spans="1:369" ht="15.75" thickBot="1" x14ac:dyDescent="0.3"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  <c r="CC1" s="51"/>
      <c r="CD1" s="51"/>
      <c r="CE1" s="51"/>
      <c r="CF1" s="51"/>
      <c r="CG1" s="51"/>
      <c r="CH1" s="51"/>
      <c r="CI1" s="51"/>
      <c r="CJ1" s="51"/>
      <c r="CK1" s="51"/>
      <c r="CL1" s="51"/>
      <c r="CM1" s="51"/>
      <c r="CN1" s="51"/>
      <c r="CO1" s="51"/>
      <c r="CP1" s="51"/>
      <c r="CQ1" s="51"/>
      <c r="CR1" s="51"/>
      <c r="CS1" s="51"/>
      <c r="CT1" s="51"/>
      <c r="CU1" s="51"/>
      <c r="CV1" s="51"/>
      <c r="CW1" s="51"/>
      <c r="CX1" s="51"/>
      <c r="CY1" s="51"/>
      <c r="CZ1" s="51"/>
      <c r="DA1" s="51"/>
      <c r="DB1" s="51"/>
      <c r="DC1" s="51"/>
      <c r="DD1" s="51"/>
      <c r="DE1" s="51"/>
      <c r="DF1" s="51"/>
      <c r="DG1" s="51"/>
      <c r="DH1" s="51"/>
      <c r="DI1" s="51"/>
      <c r="DJ1" s="51"/>
      <c r="DK1" s="51"/>
      <c r="DL1" s="51"/>
      <c r="DM1" s="51"/>
      <c r="DN1" s="51"/>
      <c r="DO1" s="51"/>
      <c r="DP1" s="51"/>
      <c r="DQ1" s="51"/>
      <c r="DR1" s="51"/>
      <c r="DS1" s="51"/>
      <c r="DT1" s="51"/>
      <c r="DU1" s="51"/>
      <c r="DV1" s="51"/>
      <c r="DW1" s="51"/>
      <c r="DX1" s="51"/>
      <c r="DY1" s="51"/>
      <c r="DZ1" s="51"/>
      <c r="EA1" s="51"/>
      <c r="EB1" s="51"/>
      <c r="EC1" s="51"/>
      <c r="ED1" s="51"/>
      <c r="EE1" s="51"/>
      <c r="EF1" s="51"/>
      <c r="EG1" s="51"/>
      <c r="EH1" s="51"/>
      <c r="EI1" s="51"/>
      <c r="EJ1" s="51"/>
      <c r="EK1" s="51"/>
      <c r="EL1" s="51"/>
      <c r="EM1" s="51"/>
      <c r="EN1" s="51"/>
      <c r="EO1" s="51"/>
      <c r="EP1" s="51"/>
      <c r="EQ1" s="51"/>
      <c r="ER1" s="51"/>
      <c r="ES1" s="51"/>
      <c r="ET1" s="51"/>
      <c r="EU1" s="51"/>
      <c r="EV1" s="51"/>
      <c r="EW1" s="51"/>
      <c r="EX1" s="51"/>
      <c r="EY1" s="51"/>
      <c r="EZ1" s="51"/>
      <c r="FA1" s="51"/>
      <c r="FB1" s="51"/>
      <c r="FC1" s="51"/>
      <c r="FD1" s="51"/>
      <c r="FE1" s="51"/>
      <c r="FF1" s="51"/>
      <c r="FG1" s="51"/>
      <c r="FH1" s="51"/>
      <c r="FI1" s="51"/>
      <c r="FJ1" s="51"/>
      <c r="FK1" s="51"/>
      <c r="FL1" s="51"/>
      <c r="FM1" s="51"/>
      <c r="FN1" s="51"/>
      <c r="FO1" s="51"/>
      <c r="FP1" s="51"/>
      <c r="FQ1" s="51"/>
      <c r="FR1" s="51"/>
      <c r="FS1" s="51"/>
      <c r="FT1" s="51"/>
      <c r="FU1" s="51"/>
      <c r="FV1" s="51"/>
      <c r="FW1" s="51"/>
      <c r="FX1" s="51"/>
      <c r="FY1" s="51"/>
      <c r="FZ1" s="51"/>
      <c r="GA1" s="51"/>
      <c r="GB1" s="51"/>
      <c r="GC1" s="51"/>
      <c r="GD1" s="51"/>
      <c r="GE1" s="51"/>
      <c r="GF1" s="51"/>
      <c r="GG1" s="51"/>
      <c r="GH1" s="51"/>
      <c r="GI1" s="51"/>
      <c r="GJ1" s="51"/>
      <c r="GK1" s="51"/>
      <c r="GL1" s="51"/>
      <c r="GM1" s="51"/>
      <c r="GN1" s="51"/>
      <c r="GO1" s="51"/>
      <c r="GP1" s="51"/>
      <c r="GQ1" s="51"/>
      <c r="GR1" s="51"/>
      <c r="GS1" s="51"/>
      <c r="GT1" s="51"/>
      <c r="GU1" s="51"/>
      <c r="GV1" s="51"/>
      <c r="GW1" s="51"/>
      <c r="GX1" s="51"/>
      <c r="GY1" s="51"/>
      <c r="GZ1" s="51"/>
      <c r="HA1" s="51"/>
      <c r="HB1" s="51"/>
      <c r="HC1" s="51"/>
      <c r="HD1" s="51"/>
      <c r="HE1" s="51"/>
      <c r="HF1" s="51"/>
      <c r="HG1" s="51"/>
      <c r="HH1" s="51"/>
      <c r="HI1" s="51"/>
      <c r="HJ1" s="51"/>
      <c r="HK1" s="51"/>
      <c r="HL1" s="51"/>
      <c r="HM1" s="51"/>
      <c r="HN1" s="51"/>
      <c r="HO1" s="51"/>
      <c r="HP1" s="51"/>
      <c r="HQ1" s="51"/>
      <c r="HR1" s="51"/>
      <c r="HS1" s="51"/>
      <c r="HT1" s="51"/>
      <c r="HU1" s="51"/>
      <c r="HV1" s="51"/>
      <c r="HW1" s="51"/>
      <c r="HX1" s="51"/>
      <c r="HY1" s="51"/>
      <c r="HZ1" s="51"/>
      <c r="IA1" s="51"/>
      <c r="IB1" s="51"/>
      <c r="IC1" s="51"/>
      <c r="ID1" s="51"/>
      <c r="IE1" s="51"/>
      <c r="IF1" s="51"/>
      <c r="IG1" s="51"/>
      <c r="IH1" s="51"/>
      <c r="II1" s="51"/>
      <c r="IJ1" s="51"/>
      <c r="IK1" s="51"/>
      <c r="IL1" s="51"/>
      <c r="IM1" s="51"/>
      <c r="IN1" s="51"/>
      <c r="IO1" s="51"/>
      <c r="IP1" s="51"/>
      <c r="IQ1" s="51"/>
      <c r="IR1" s="51"/>
      <c r="IS1" s="51"/>
      <c r="IT1" s="51"/>
      <c r="IU1" s="51"/>
      <c r="IV1" s="51"/>
      <c r="IW1" s="51"/>
      <c r="IX1" s="51"/>
      <c r="IY1" s="51"/>
      <c r="IZ1" s="51"/>
      <c r="JA1" s="51"/>
      <c r="JB1" s="51"/>
      <c r="JC1" s="51"/>
      <c r="JD1" s="51"/>
      <c r="JE1" s="51"/>
      <c r="JF1" s="51"/>
      <c r="JG1" s="51"/>
      <c r="JH1" s="51"/>
      <c r="JI1" s="51"/>
      <c r="JJ1" s="51"/>
      <c r="JK1" s="51"/>
      <c r="JL1" s="51"/>
      <c r="JM1" s="51"/>
      <c r="JN1" s="51"/>
      <c r="JO1" s="51"/>
      <c r="JP1" s="51"/>
      <c r="JQ1" s="51"/>
      <c r="JR1" s="51"/>
      <c r="JS1" s="51"/>
      <c r="JT1" s="51"/>
      <c r="JU1" s="51"/>
      <c r="JV1" s="51"/>
      <c r="JW1" s="51"/>
      <c r="JX1" s="51"/>
      <c r="JY1" s="51"/>
      <c r="JZ1" s="51"/>
      <c r="KA1" s="51"/>
      <c r="KB1" s="51"/>
      <c r="KC1" s="51"/>
      <c r="KD1" s="51"/>
      <c r="KE1" s="51"/>
      <c r="KF1" s="51"/>
      <c r="KG1" s="51"/>
      <c r="KH1" s="51"/>
      <c r="KI1" s="51"/>
      <c r="KJ1" s="51"/>
      <c r="KK1" s="51"/>
      <c r="KL1" s="51"/>
      <c r="KM1" s="51"/>
      <c r="KN1" s="51"/>
      <c r="KO1" s="51"/>
      <c r="KP1" s="51"/>
      <c r="KQ1" s="51"/>
      <c r="KR1" s="51"/>
      <c r="KS1" s="51"/>
      <c r="KT1" s="51"/>
      <c r="KU1" s="51"/>
      <c r="KV1" s="51"/>
      <c r="KW1" s="51"/>
      <c r="KX1" s="51"/>
      <c r="KY1" s="51"/>
      <c r="KZ1" s="51"/>
      <c r="LA1" s="51"/>
      <c r="LB1" s="51"/>
      <c r="LC1" s="51"/>
      <c r="LD1" s="51"/>
      <c r="LE1" s="51"/>
      <c r="LF1" s="51"/>
      <c r="LG1" s="51"/>
      <c r="LH1" s="51"/>
      <c r="LI1" s="51"/>
      <c r="LJ1" s="51"/>
      <c r="LK1" s="51"/>
      <c r="LL1" s="51"/>
      <c r="LM1" s="51"/>
      <c r="LN1" s="51"/>
      <c r="LO1" s="51"/>
      <c r="LP1" s="51"/>
      <c r="LQ1" s="51"/>
      <c r="LR1" s="51"/>
      <c r="LS1" s="51"/>
      <c r="LT1" s="51"/>
      <c r="LU1" s="51"/>
      <c r="LV1" s="51"/>
      <c r="LW1" s="51"/>
      <c r="LX1" s="51"/>
      <c r="LY1" s="51"/>
      <c r="LZ1" s="51"/>
      <c r="MA1" s="51"/>
      <c r="MB1" s="51"/>
      <c r="MC1" s="51"/>
      <c r="MD1" s="51"/>
      <c r="ME1" s="51"/>
      <c r="MF1" s="51"/>
      <c r="MG1" s="51"/>
      <c r="MH1" s="51"/>
      <c r="MI1" s="51"/>
      <c r="MJ1" s="51"/>
      <c r="MK1" s="51"/>
      <c r="ML1" s="51"/>
      <c r="MM1" s="51"/>
      <c r="MN1" s="51"/>
      <c r="MO1" s="51"/>
      <c r="MP1" s="51"/>
      <c r="MQ1" s="51"/>
      <c r="MR1" s="51"/>
      <c r="MS1" s="51"/>
      <c r="MT1" s="51"/>
      <c r="MU1" s="51"/>
      <c r="MV1" s="51"/>
      <c r="MW1" s="51"/>
      <c r="MX1" s="51"/>
      <c r="MY1" s="51"/>
      <c r="MZ1" s="51"/>
      <c r="NA1" s="51"/>
      <c r="NB1" s="51"/>
      <c r="NC1" s="51"/>
      <c r="ND1" s="51"/>
      <c r="NE1" s="51"/>
    </row>
    <row r="2" spans="1:369" ht="15.75" thickBot="1" x14ac:dyDescent="0.3">
      <c r="A2" s="228" t="s">
        <v>189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F2" s="229"/>
      <c r="BG2" s="229"/>
      <c r="BH2" s="229"/>
      <c r="BI2" s="229"/>
      <c r="BJ2" s="229"/>
      <c r="BK2" s="229"/>
      <c r="BL2" s="229"/>
      <c r="BM2" s="229"/>
      <c r="BN2" s="229"/>
      <c r="BO2" s="229"/>
      <c r="BP2" s="229"/>
      <c r="BQ2" s="229"/>
      <c r="BR2" s="229"/>
      <c r="BS2" s="229"/>
      <c r="BT2" s="229"/>
      <c r="BU2" s="229"/>
      <c r="BV2" s="229"/>
      <c r="BW2" s="229"/>
      <c r="BX2" s="229"/>
      <c r="BY2" s="229"/>
      <c r="BZ2" s="229"/>
      <c r="CA2" s="229"/>
      <c r="CB2" s="229"/>
      <c r="CC2" s="229"/>
      <c r="CD2" s="229"/>
      <c r="CE2" s="229"/>
      <c r="CF2" s="229"/>
      <c r="CG2" s="229"/>
      <c r="CH2" s="229"/>
      <c r="CI2" s="229"/>
      <c r="CJ2" s="229"/>
      <c r="CK2" s="229"/>
      <c r="CL2" s="229"/>
      <c r="CM2" s="229"/>
      <c r="CN2" s="229"/>
      <c r="CO2" s="229"/>
      <c r="CP2" s="229"/>
      <c r="CQ2" s="229"/>
      <c r="CR2" s="229"/>
      <c r="CS2" s="229"/>
      <c r="CT2" s="229"/>
      <c r="CU2" s="229"/>
      <c r="CV2" s="229"/>
      <c r="CW2" s="229"/>
      <c r="CX2" s="229"/>
      <c r="CY2" s="229"/>
      <c r="CZ2" s="229"/>
      <c r="DA2" s="229"/>
      <c r="DB2" s="229"/>
      <c r="DC2" s="229"/>
      <c r="DD2" s="229"/>
      <c r="DE2" s="229"/>
      <c r="DF2" s="229"/>
      <c r="DG2" s="229"/>
      <c r="DH2" s="229"/>
      <c r="DI2" s="229"/>
      <c r="DJ2" s="229"/>
      <c r="DK2" s="229"/>
      <c r="DL2" s="229"/>
      <c r="DM2" s="229"/>
      <c r="DN2" s="229"/>
      <c r="DO2" s="229"/>
      <c r="DP2" s="229"/>
      <c r="DQ2" s="229"/>
      <c r="DR2" s="229"/>
      <c r="DS2" s="229"/>
      <c r="DT2" s="229"/>
      <c r="DU2" s="229"/>
      <c r="DV2" s="229"/>
      <c r="DW2" s="229"/>
      <c r="DX2" s="229"/>
      <c r="DY2" s="229"/>
      <c r="DZ2" s="229"/>
      <c r="EA2" s="229"/>
      <c r="EB2" s="229"/>
      <c r="EC2" s="229"/>
      <c r="ED2" s="229"/>
      <c r="EE2" s="229"/>
      <c r="EF2" s="229"/>
      <c r="EG2" s="229"/>
      <c r="EH2" s="229"/>
      <c r="EI2" s="229"/>
      <c r="EJ2" s="229"/>
      <c r="EK2" s="229"/>
      <c r="EL2" s="229"/>
      <c r="EM2" s="229"/>
      <c r="EN2" s="229"/>
      <c r="EO2" s="229"/>
      <c r="EP2" s="229"/>
      <c r="EQ2" s="229"/>
      <c r="ER2" s="229"/>
      <c r="ES2" s="229"/>
      <c r="ET2" s="229"/>
      <c r="EU2" s="229"/>
      <c r="EV2" s="229"/>
      <c r="EW2" s="229"/>
      <c r="EX2" s="229"/>
      <c r="EY2" s="229"/>
      <c r="EZ2" s="229"/>
      <c r="FA2" s="229"/>
      <c r="FB2" s="229"/>
      <c r="FC2" s="229"/>
      <c r="FD2" s="229"/>
      <c r="FE2" s="229"/>
      <c r="FF2" s="229"/>
      <c r="FG2" s="229"/>
      <c r="FH2" s="229"/>
      <c r="FI2" s="229"/>
      <c r="FJ2" s="229"/>
      <c r="FK2" s="229"/>
      <c r="FL2" s="229"/>
      <c r="FM2" s="229"/>
      <c r="FN2" s="229"/>
      <c r="FO2" s="229"/>
      <c r="FP2" s="229"/>
      <c r="FQ2" s="229"/>
      <c r="FR2" s="229"/>
      <c r="FS2" s="229"/>
      <c r="FT2" s="229"/>
      <c r="FU2" s="229"/>
      <c r="FV2" s="229"/>
      <c r="FW2" s="229"/>
      <c r="FX2" s="229"/>
      <c r="FY2" s="229"/>
      <c r="FZ2" s="229"/>
      <c r="GA2" s="229"/>
      <c r="GB2" s="229"/>
      <c r="GC2" s="229"/>
      <c r="GD2" s="229"/>
      <c r="GE2" s="229"/>
      <c r="GF2" s="229"/>
      <c r="GG2" s="229"/>
      <c r="GH2" s="229"/>
      <c r="GI2" s="229"/>
      <c r="GJ2" s="229"/>
      <c r="GK2" s="229"/>
      <c r="GL2" s="229"/>
      <c r="GM2" s="229"/>
      <c r="GN2" s="229"/>
      <c r="GO2" s="229"/>
      <c r="GP2" s="229"/>
      <c r="GQ2" s="229"/>
      <c r="GR2" s="229"/>
      <c r="GS2" s="229"/>
      <c r="GT2" s="229"/>
      <c r="GU2" s="229"/>
      <c r="GV2" s="229"/>
      <c r="GW2" s="229"/>
      <c r="GX2" s="229"/>
      <c r="GY2" s="229"/>
      <c r="GZ2" s="229"/>
      <c r="HA2" s="229"/>
      <c r="HB2" s="229"/>
      <c r="HC2" s="229"/>
      <c r="HD2" s="229"/>
      <c r="HE2" s="229"/>
      <c r="HF2" s="229"/>
      <c r="HG2" s="229"/>
      <c r="HH2" s="229"/>
      <c r="HI2" s="229"/>
      <c r="HJ2" s="229"/>
      <c r="HK2" s="229"/>
      <c r="HL2" s="229"/>
      <c r="HM2" s="229"/>
      <c r="HN2" s="229"/>
      <c r="HO2" s="229"/>
      <c r="HP2" s="229"/>
      <c r="HQ2" s="229"/>
      <c r="HR2" s="229"/>
      <c r="HS2" s="229"/>
      <c r="HT2" s="229"/>
      <c r="HU2" s="229"/>
      <c r="HV2" s="229"/>
      <c r="HW2" s="229"/>
      <c r="HX2" s="229"/>
      <c r="HY2" s="229"/>
      <c r="HZ2" s="229"/>
      <c r="IA2" s="229"/>
      <c r="IB2" s="229"/>
      <c r="IC2" s="229"/>
      <c r="ID2" s="229"/>
      <c r="IE2" s="229"/>
      <c r="IF2" s="229"/>
      <c r="IG2" s="229"/>
      <c r="IH2" s="229"/>
      <c r="II2" s="229"/>
      <c r="IJ2" s="229"/>
      <c r="IK2" s="229"/>
      <c r="IL2" s="229"/>
      <c r="IM2" s="229"/>
      <c r="IN2" s="229"/>
      <c r="IO2" s="229"/>
      <c r="IP2" s="229"/>
      <c r="IQ2" s="229"/>
      <c r="IR2" s="229"/>
      <c r="IS2" s="229"/>
      <c r="IT2" s="229"/>
      <c r="IU2" s="229"/>
      <c r="IV2" s="229"/>
      <c r="IW2" s="229"/>
      <c r="IX2" s="229"/>
      <c r="IY2" s="229"/>
      <c r="IZ2" s="229"/>
      <c r="JA2" s="229"/>
      <c r="JB2" s="229"/>
      <c r="JC2" s="229"/>
      <c r="JD2" s="229"/>
      <c r="JE2" s="229"/>
      <c r="JF2" s="229"/>
      <c r="JG2" s="229"/>
      <c r="JH2" s="229"/>
      <c r="JI2" s="229"/>
      <c r="JJ2" s="229"/>
      <c r="JK2" s="229"/>
      <c r="JL2" s="229"/>
      <c r="JM2" s="229"/>
      <c r="JN2" s="229"/>
      <c r="JO2" s="229"/>
      <c r="JP2" s="229"/>
      <c r="JQ2" s="229"/>
      <c r="JR2" s="229"/>
      <c r="JS2" s="229"/>
      <c r="JT2" s="229"/>
      <c r="JU2" s="229"/>
      <c r="JV2" s="229"/>
      <c r="JW2" s="229"/>
      <c r="JX2" s="229"/>
      <c r="JY2" s="229"/>
      <c r="JZ2" s="229"/>
      <c r="KA2" s="229"/>
      <c r="KB2" s="229"/>
      <c r="KC2" s="229"/>
      <c r="KD2" s="229"/>
      <c r="KE2" s="229"/>
      <c r="KF2" s="229"/>
      <c r="KG2" s="229"/>
      <c r="KH2" s="229"/>
      <c r="KI2" s="229"/>
      <c r="KJ2" s="229"/>
      <c r="KK2" s="229"/>
      <c r="KL2" s="229"/>
      <c r="KM2" s="229"/>
      <c r="KN2" s="229"/>
      <c r="KO2" s="229"/>
      <c r="KP2" s="229"/>
      <c r="KQ2" s="229"/>
      <c r="KR2" s="229"/>
      <c r="KS2" s="229"/>
      <c r="KT2" s="229"/>
      <c r="KU2" s="229"/>
      <c r="KV2" s="229"/>
      <c r="KW2" s="229"/>
      <c r="KX2" s="229"/>
      <c r="KY2" s="229"/>
      <c r="KZ2" s="229"/>
      <c r="LA2" s="229"/>
      <c r="LB2" s="229"/>
      <c r="LC2" s="229"/>
      <c r="LD2" s="229"/>
      <c r="LE2" s="229"/>
      <c r="LF2" s="229"/>
      <c r="LG2" s="229"/>
      <c r="LH2" s="229"/>
      <c r="LI2" s="229"/>
      <c r="LJ2" s="229"/>
      <c r="LK2" s="229"/>
      <c r="LL2" s="229"/>
      <c r="LM2" s="229"/>
      <c r="LN2" s="229"/>
      <c r="LO2" s="229"/>
      <c r="LP2" s="229"/>
      <c r="LQ2" s="229"/>
      <c r="LR2" s="229"/>
      <c r="LS2" s="229"/>
      <c r="LT2" s="229"/>
      <c r="LU2" s="229"/>
      <c r="LV2" s="229"/>
      <c r="LW2" s="229"/>
      <c r="LX2" s="229"/>
      <c r="LY2" s="229"/>
      <c r="LZ2" s="229"/>
      <c r="MA2" s="229"/>
      <c r="MB2" s="229"/>
      <c r="MC2" s="229"/>
      <c r="MD2" s="229"/>
      <c r="ME2" s="229"/>
      <c r="MF2" s="229"/>
      <c r="MG2" s="229"/>
      <c r="MH2" s="229"/>
      <c r="MI2" s="229"/>
      <c r="MJ2" s="229"/>
      <c r="MK2" s="229"/>
      <c r="ML2" s="229"/>
      <c r="MM2" s="229"/>
      <c r="MN2" s="229"/>
      <c r="MO2" s="229"/>
      <c r="MP2" s="229"/>
      <c r="MQ2" s="229"/>
      <c r="MR2" s="229"/>
      <c r="MS2" s="229"/>
      <c r="MT2" s="229"/>
      <c r="MU2" s="229"/>
      <c r="MV2" s="229"/>
      <c r="MW2" s="229"/>
      <c r="MX2" s="229"/>
      <c r="MY2" s="229"/>
      <c r="MZ2" s="229"/>
      <c r="NA2" s="229"/>
      <c r="NB2" s="229"/>
      <c r="NC2" s="229"/>
      <c r="ND2" s="229"/>
      <c r="NE2" s="230"/>
    </row>
    <row r="3" spans="1:369" ht="15.75" thickBot="1" x14ac:dyDescent="0.3">
      <c r="A3" s="231" t="s">
        <v>11</v>
      </c>
      <c r="B3" s="234" t="s">
        <v>65</v>
      </c>
      <c r="C3" s="237" t="s">
        <v>190</v>
      </c>
      <c r="D3" s="240" t="s">
        <v>92</v>
      </c>
      <c r="E3" s="225" t="s">
        <v>191</v>
      </c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6"/>
      <c r="AG3" s="226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6"/>
      <c r="BA3" s="226"/>
      <c r="BB3" s="226"/>
      <c r="BC3" s="226"/>
      <c r="BD3" s="226"/>
      <c r="BE3" s="226"/>
      <c r="BF3" s="226"/>
      <c r="BG3" s="226"/>
      <c r="BH3" s="226"/>
      <c r="BI3" s="226"/>
      <c r="BJ3" s="226"/>
      <c r="BK3" s="226"/>
      <c r="BL3" s="226"/>
      <c r="BM3" s="226"/>
      <c r="BN3" s="226"/>
      <c r="BO3" s="226"/>
      <c r="BP3" s="226"/>
      <c r="BQ3" s="226"/>
      <c r="BR3" s="226"/>
      <c r="BS3" s="226"/>
      <c r="BT3" s="226"/>
      <c r="BU3" s="226"/>
      <c r="BV3" s="226"/>
      <c r="BW3" s="226"/>
      <c r="BX3" s="226"/>
      <c r="BY3" s="226"/>
      <c r="BZ3" s="226"/>
      <c r="CA3" s="226"/>
      <c r="CB3" s="226"/>
      <c r="CC3" s="226"/>
      <c r="CD3" s="226"/>
      <c r="CE3" s="226"/>
      <c r="CF3" s="226"/>
      <c r="CG3" s="226"/>
      <c r="CH3" s="226"/>
      <c r="CI3" s="226"/>
      <c r="CJ3" s="226"/>
      <c r="CK3" s="226"/>
      <c r="CL3" s="226"/>
      <c r="CM3" s="226"/>
      <c r="CN3" s="226"/>
      <c r="CO3" s="226"/>
      <c r="CP3" s="226"/>
      <c r="CQ3" s="226"/>
      <c r="CR3" s="226"/>
      <c r="CS3" s="226"/>
      <c r="CT3" s="226"/>
      <c r="CU3" s="226"/>
      <c r="CV3" s="226"/>
      <c r="CW3" s="226"/>
      <c r="CX3" s="226"/>
      <c r="CY3" s="226"/>
      <c r="CZ3" s="226"/>
      <c r="DA3" s="226"/>
      <c r="DB3" s="226"/>
      <c r="DC3" s="226"/>
      <c r="DD3" s="226"/>
      <c r="DE3" s="226"/>
      <c r="DF3" s="226"/>
      <c r="DG3" s="226"/>
      <c r="DH3" s="226"/>
      <c r="DI3" s="226"/>
      <c r="DJ3" s="226"/>
      <c r="DK3" s="226"/>
      <c r="DL3" s="226"/>
      <c r="DM3" s="226"/>
      <c r="DN3" s="226"/>
      <c r="DO3" s="226"/>
      <c r="DP3" s="226"/>
      <c r="DQ3" s="226"/>
      <c r="DR3" s="226"/>
      <c r="DS3" s="226"/>
      <c r="DT3" s="226"/>
      <c r="DU3" s="226"/>
      <c r="DV3" s="226"/>
      <c r="DW3" s="226"/>
      <c r="DX3" s="226"/>
      <c r="DY3" s="226"/>
      <c r="DZ3" s="226"/>
      <c r="EA3" s="226"/>
      <c r="EB3" s="226"/>
      <c r="EC3" s="226"/>
      <c r="ED3" s="226"/>
      <c r="EE3" s="226"/>
      <c r="EF3" s="226"/>
      <c r="EG3" s="226"/>
      <c r="EH3" s="226"/>
      <c r="EI3" s="226"/>
      <c r="EJ3" s="226"/>
      <c r="EK3" s="226"/>
      <c r="EL3" s="226"/>
      <c r="EM3" s="226"/>
      <c r="EN3" s="226"/>
      <c r="EO3" s="226"/>
      <c r="EP3" s="226"/>
      <c r="EQ3" s="226"/>
      <c r="ER3" s="226"/>
      <c r="ES3" s="226"/>
      <c r="ET3" s="226"/>
      <c r="EU3" s="226"/>
      <c r="EV3" s="226"/>
      <c r="EW3" s="226"/>
      <c r="EX3" s="226"/>
      <c r="EY3" s="226"/>
      <c r="EZ3" s="226"/>
      <c r="FA3" s="226"/>
      <c r="FB3" s="226"/>
      <c r="FC3" s="226"/>
      <c r="FD3" s="226"/>
      <c r="FE3" s="226"/>
      <c r="FF3" s="226"/>
      <c r="FG3" s="226"/>
      <c r="FH3" s="226"/>
      <c r="FI3" s="226"/>
      <c r="FJ3" s="226"/>
      <c r="FK3" s="226"/>
      <c r="FL3" s="226"/>
      <c r="FM3" s="226"/>
      <c r="FN3" s="226"/>
      <c r="FO3" s="226"/>
      <c r="FP3" s="226"/>
      <c r="FQ3" s="226"/>
      <c r="FR3" s="226"/>
      <c r="FS3" s="226"/>
      <c r="FT3" s="226"/>
      <c r="FU3" s="226"/>
      <c r="FV3" s="226"/>
      <c r="FW3" s="226"/>
      <c r="FX3" s="226"/>
      <c r="FY3" s="226"/>
      <c r="FZ3" s="226"/>
      <c r="GA3" s="226"/>
      <c r="GB3" s="226"/>
      <c r="GC3" s="226"/>
      <c r="GD3" s="226"/>
      <c r="GE3" s="226"/>
      <c r="GF3" s="226"/>
      <c r="GG3" s="226"/>
      <c r="GH3" s="226"/>
      <c r="GI3" s="226"/>
      <c r="GJ3" s="226"/>
      <c r="GK3" s="226"/>
      <c r="GL3" s="226"/>
      <c r="GM3" s="226"/>
      <c r="GN3" s="226"/>
      <c r="GO3" s="226"/>
      <c r="GP3" s="226"/>
      <c r="GQ3" s="226"/>
      <c r="GR3" s="226"/>
      <c r="GS3" s="226"/>
      <c r="GT3" s="226"/>
      <c r="GU3" s="226"/>
      <c r="GV3" s="226"/>
      <c r="GW3" s="226"/>
      <c r="GX3" s="226"/>
      <c r="GY3" s="226"/>
      <c r="GZ3" s="226"/>
      <c r="HA3" s="226"/>
      <c r="HB3" s="226"/>
      <c r="HC3" s="226"/>
      <c r="HD3" s="226"/>
      <c r="HE3" s="226"/>
      <c r="HF3" s="226"/>
      <c r="HG3" s="226"/>
      <c r="HH3" s="226"/>
      <c r="HI3" s="226"/>
      <c r="HJ3" s="226"/>
      <c r="HK3" s="226"/>
      <c r="HL3" s="226"/>
      <c r="HM3" s="226"/>
      <c r="HN3" s="226"/>
      <c r="HO3" s="226"/>
      <c r="HP3" s="226"/>
      <c r="HQ3" s="226"/>
      <c r="HR3" s="226"/>
      <c r="HS3" s="226"/>
      <c r="HT3" s="226"/>
      <c r="HU3" s="226"/>
      <c r="HV3" s="226"/>
      <c r="HW3" s="226"/>
      <c r="HX3" s="226"/>
      <c r="HY3" s="226"/>
      <c r="HZ3" s="226"/>
      <c r="IA3" s="226"/>
      <c r="IB3" s="226"/>
      <c r="IC3" s="226"/>
      <c r="ID3" s="226"/>
      <c r="IE3" s="226"/>
      <c r="IF3" s="226"/>
      <c r="IG3" s="226"/>
      <c r="IH3" s="226"/>
      <c r="II3" s="226"/>
      <c r="IJ3" s="226"/>
      <c r="IK3" s="226"/>
      <c r="IL3" s="226"/>
      <c r="IM3" s="226"/>
      <c r="IN3" s="226"/>
      <c r="IO3" s="226"/>
      <c r="IP3" s="226"/>
      <c r="IQ3" s="226"/>
      <c r="IR3" s="226"/>
      <c r="IS3" s="226"/>
      <c r="IT3" s="226"/>
      <c r="IU3" s="226"/>
      <c r="IV3" s="226"/>
      <c r="IW3" s="226"/>
      <c r="IX3" s="226"/>
      <c r="IY3" s="226"/>
      <c r="IZ3" s="226"/>
      <c r="JA3" s="226"/>
      <c r="JB3" s="226"/>
      <c r="JC3" s="226"/>
      <c r="JD3" s="226"/>
      <c r="JE3" s="226"/>
      <c r="JF3" s="226"/>
      <c r="JG3" s="226"/>
      <c r="JH3" s="226"/>
      <c r="JI3" s="226"/>
      <c r="JJ3" s="226"/>
      <c r="JK3" s="226"/>
      <c r="JL3" s="226"/>
      <c r="JM3" s="226"/>
      <c r="JN3" s="226"/>
      <c r="JO3" s="226"/>
      <c r="JP3" s="226"/>
      <c r="JQ3" s="226"/>
      <c r="JR3" s="226"/>
      <c r="JS3" s="226"/>
      <c r="JT3" s="226"/>
      <c r="JU3" s="226"/>
      <c r="JV3" s="226"/>
      <c r="JW3" s="226"/>
      <c r="JX3" s="226"/>
      <c r="JY3" s="226"/>
      <c r="JZ3" s="226"/>
      <c r="KA3" s="226"/>
      <c r="KB3" s="226"/>
      <c r="KC3" s="226"/>
      <c r="KD3" s="226"/>
      <c r="KE3" s="226"/>
      <c r="KF3" s="226"/>
      <c r="KG3" s="226"/>
      <c r="KH3" s="226"/>
      <c r="KI3" s="226"/>
      <c r="KJ3" s="226"/>
      <c r="KK3" s="226"/>
      <c r="KL3" s="226"/>
      <c r="KM3" s="226"/>
      <c r="KN3" s="226"/>
      <c r="KO3" s="226"/>
      <c r="KP3" s="226"/>
      <c r="KQ3" s="226"/>
      <c r="KR3" s="226"/>
      <c r="KS3" s="226"/>
      <c r="KT3" s="226"/>
      <c r="KU3" s="226"/>
      <c r="KV3" s="226"/>
      <c r="KW3" s="226"/>
      <c r="KX3" s="226"/>
      <c r="KY3" s="226"/>
      <c r="KZ3" s="226"/>
      <c r="LA3" s="226"/>
      <c r="LB3" s="226"/>
      <c r="LC3" s="226"/>
      <c r="LD3" s="226"/>
      <c r="LE3" s="226"/>
      <c r="LF3" s="226"/>
      <c r="LG3" s="226"/>
      <c r="LH3" s="226"/>
      <c r="LI3" s="226"/>
      <c r="LJ3" s="226"/>
      <c r="LK3" s="226"/>
      <c r="LL3" s="226"/>
      <c r="LM3" s="226"/>
      <c r="LN3" s="226"/>
      <c r="LO3" s="226"/>
      <c r="LP3" s="226"/>
      <c r="LQ3" s="226"/>
      <c r="LR3" s="226"/>
      <c r="LS3" s="226"/>
      <c r="LT3" s="226"/>
      <c r="LU3" s="226"/>
      <c r="LV3" s="226"/>
      <c r="LW3" s="226"/>
      <c r="LX3" s="226"/>
      <c r="LY3" s="226"/>
      <c r="LZ3" s="226"/>
      <c r="MA3" s="226"/>
      <c r="MB3" s="226"/>
      <c r="MC3" s="226"/>
      <c r="MD3" s="226"/>
      <c r="ME3" s="226"/>
      <c r="MF3" s="226"/>
      <c r="MG3" s="226"/>
      <c r="MH3" s="226"/>
      <c r="MI3" s="226"/>
      <c r="MJ3" s="226"/>
      <c r="MK3" s="226"/>
      <c r="ML3" s="226"/>
      <c r="MM3" s="226"/>
      <c r="MN3" s="226"/>
      <c r="MO3" s="226"/>
      <c r="MP3" s="226"/>
      <c r="MQ3" s="226"/>
      <c r="MR3" s="226"/>
      <c r="MS3" s="226"/>
      <c r="MT3" s="226"/>
      <c r="MU3" s="226"/>
      <c r="MV3" s="226"/>
      <c r="MW3" s="226"/>
      <c r="MX3" s="226"/>
      <c r="MY3" s="226"/>
      <c r="MZ3" s="226"/>
      <c r="NA3" s="226"/>
      <c r="NB3" s="226"/>
      <c r="NC3" s="226"/>
      <c r="ND3" s="226"/>
      <c r="NE3" s="227"/>
    </row>
    <row r="4" spans="1:369" ht="15.75" thickBot="1" x14ac:dyDescent="0.3">
      <c r="A4" s="232"/>
      <c r="B4" s="235"/>
      <c r="C4" s="238"/>
      <c r="D4" s="241"/>
      <c r="E4" s="225" t="s">
        <v>192</v>
      </c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7"/>
      <c r="AJ4" s="225" t="s">
        <v>193</v>
      </c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7"/>
      <c r="BL4" s="225" t="s">
        <v>194</v>
      </c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7"/>
      <c r="CQ4" s="225" t="s">
        <v>195</v>
      </c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H4" s="226"/>
      <c r="DI4" s="226"/>
      <c r="DJ4" s="226"/>
      <c r="DK4" s="226"/>
      <c r="DL4" s="226"/>
      <c r="DM4" s="226"/>
      <c r="DN4" s="226"/>
      <c r="DO4" s="226"/>
      <c r="DP4" s="226"/>
      <c r="DQ4" s="226"/>
      <c r="DR4" s="226"/>
      <c r="DS4" s="226"/>
      <c r="DT4" s="227"/>
      <c r="DU4" s="225" t="s">
        <v>196</v>
      </c>
      <c r="DV4" s="226"/>
      <c r="DW4" s="226"/>
      <c r="DX4" s="226"/>
      <c r="DY4" s="226"/>
      <c r="DZ4" s="226"/>
      <c r="EA4" s="226"/>
      <c r="EB4" s="226"/>
      <c r="EC4" s="226"/>
      <c r="ED4" s="226"/>
      <c r="EE4" s="226"/>
      <c r="EF4" s="226"/>
      <c r="EG4" s="226"/>
      <c r="EH4" s="226"/>
      <c r="EI4" s="226"/>
      <c r="EJ4" s="226"/>
      <c r="EK4" s="226"/>
      <c r="EL4" s="226"/>
      <c r="EM4" s="226"/>
      <c r="EN4" s="226"/>
      <c r="EO4" s="226"/>
      <c r="EP4" s="226"/>
      <c r="EQ4" s="226"/>
      <c r="ER4" s="226"/>
      <c r="ES4" s="226"/>
      <c r="ET4" s="226"/>
      <c r="EU4" s="226"/>
      <c r="EV4" s="226"/>
      <c r="EW4" s="226"/>
      <c r="EX4" s="226"/>
      <c r="EY4" s="227"/>
      <c r="EZ4" s="225" t="s">
        <v>197</v>
      </c>
      <c r="FA4" s="226"/>
      <c r="FB4" s="226"/>
      <c r="FC4" s="226"/>
      <c r="FD4" s="226"/>
      <c r="FE4" s="226"/>
      <c r="FF4" s="226"/>
      <c r="FG4" s="226"/>
      <c r="FH4" s="226"/>
      <c r="FI4" s="226"/>
      <c r="FJ4" s="226"/>
      <c r="FK4" s="226"/>
      <c r="FL4" s="226"/>
      <c r="FM4" s="226"/>
      <c r="FN4" s="226"/>
      <c r="FO4" s="226"/>
      <c r="FP4" s="226"/>
      <c r="FQ4" s="226"/>
      <c r="FR4" s="226"/>
      <c r="FS4" s="226"/>
      <c r="FT4" s="226"/>
      <c r="FU4" s="226"/>
      <c r="FV4" s="226"/>
      <c r="FW4" s="226"/>
      <c r="FX4" s="226"/>
      <c r="FY4" s="226"/>
      <c r="FZ4" s="226"/>
      <c r="GA4" s="226"/>
      <c r="GB4" s="226"/>
      <c r="GC4" s="227"/>
      <c r="GD4" s="225" t="s">
        <v>198</v>
      </c>
      <c r="GE4" s="226"/>
      <c r="GF4" s="226"/>
      <c r="GG4" s="226"/>
      <c r="GH4" s="226"/>
      <c r="GI4" s="226"/>
      <c r="GJ4" s="226"/>
      <c r="GK4" s="226"/>
      <c r="GL4" s="226"/>
      <c r="GM4" s="226"/>
      <c r="GN4" s="226"/>
      <c r="GO4" s="226"/>
      <c r="GP4" s="226"/>
      <c r="GQ4" s="226"/>
      <c r="GR4" s="226"/>
      <c r="GS4" s="226"/>
      <c r="GT4" s="226"/>
      <c r="GU4" s="226"/>
      <c r="GV4" s="226"/>
      <c r="GW4" s="226"/>
      <c r="GX4" s="226"/>
      <c r="GY4" s="226"/>
      <c r="GZ4" s="226"/>
      <c r="HA4" s="226"/>
      <c r="HB4" s="226"/>
      <c r="HC4" s="226"/>
      <c r="HD4" s="226"/>
      <c r="HE4" s="226"/>
      <c r="HF4" s="226"/>
      <c r="HG4" s="226"/>
      <c r="HH4" s="227"/>
      <c r="HI4" s="225" t="s">
        <v>199</v>
      </c>
      <c r="HJ4" s="226"/>
      <c r="HK4" s="226"/>
      <c r="HL4" s="226"/>
      <c r="HM4" s="226"/>
      <c r="HN4" s="226"/>
      <c r="HO4" s="226"/>
      <c r="HP4" s="226"/>
      <c r="HQ4" s="226"/>
      <c r="HR4" s="226"/>
      <c r="HS4" s="226"/>
      <c r="HT4" s="226"/>
      <c r="HU4" s="226"/>
      <c r="HV4" s="226"/>
      <c r="HW4" s="226"/>
      <c r="HX4" s="226"/>
      <c r="HY4" s="226"/>
      <c r="HZ4" s="226"/>
      <c r="IA4" s="226"/>
      <c r="IB4" s="226"/>
      <c r="IC4" s="226"/>
      <c r="ID4" s="226"/>
      <c r="IE4" s="226"/>
      <c r="IF4" s="226"/>
      <c r="IG4" s="226"/>
      <c r="IH4" s="226"/>
      <c r="II4" s="226"/>
      <c r="IJ4" s="226"/>
      <c r="IK4" s="226"/>
      <c r="IL4" s="226"/>
      <c r="IM4" s="227"/>
      <c r="IN4" s="225" t="s">
        <v>200</v>
      </c>
      <c r="IO4" s="226"/>
      <c r="IP4" s="226"/>
      <c r="IQ4" s="226"/>
      <c r="IR4" s="226"/>
      <c r="IS4" s="226"/>
      <c r="IT4" s="226"/>
      <c r="IU4" s="226"/>
      <c r="IV4" s="226"/>
      <c r="IW4" s="226"/>
      <c r="IX4" s="226"/>
      <c r="IY4" s="226"/>
      <c r="IZ4" s="226"/>
      <c r="JA4" s="226"/>
      <c r="JB4" s="226"/>
      <c r="JC4" s="226"/>
      <c r="JD4" s="226"/>
      <c r="JE4" s="226"/>
      <c r="JF4" s="226"/>
      <c r="JG4" s="226"/>
      <c r="JH4" s="226"/>
      <c r="JI4" s="226"/>
      <c r="JJ4" s="226"/>
      <c r="JK4" s="226"/>
      <c r="JL4" s="226"/>
      <c r="JM4" s="226"/>
      <c r="JN4" s="226"/>
      <c r="JO4" s="226"/>
      <c r="JP4" s="226"/>
      <c r="JQ4" s="227"/>
      <c r="JR4" s="225" t="s">
        <v>201</v>
      </c>
      <c r="JS4" s="226"/>
      <c r="JT4" s="226"/>
      <c r="JU4" s="226"/>
      <c r="JV4" s="226"/>
      <c r="JW4" s="226"/>
      <c r="JX4" s="226"/>
      <c r="JY4" s="226"/>
      <c r="JZ4" s="226"/>
      <c r="KA4" s="226"/>
      <c r="KB4" s="226"/>
      <c r="KC4" s="226"/>
      <c r="KD4" s="226"/>
      <c r="KE4" s="226"/>
      <c r="KF4" s="226"/>
      <c r="KG4" s="226"/>
      <c r="KH4" s="226"/>
      <c r="KI4" s="226"/>
      <c r="KJ4" s="226"/>
      <c r="KK4" s="226"/>
      <c r="KL4" s="226"/>
      <c r="KM4" s="226"/>
      <c r="KN4" s="226"/>
      <c r="KO4" s="226"/>
      <c r="KP4" s="226"/>
      <c r="KQ4" s="226"/>
      <c r="KR4" s="226"/>
      <c r="KS4" s="226"/>
      <c r="KT4" s="226"/>
      <c r="KU4" s="226"/>
      <c r="KV4" s="227"/>
      <c r="KW4" s="225" t="s">
        <v>202</v>
      </c>
      <c r="KX4" s="226"/>
      <c r="KY4" s="226"/>
      <c r="KZ4" s="226"/>
      <c r="LA4" s="226"/>
      <c r="LB4" s="226"/>
      <c r="LC4" s="226"/>
      <c r="LD4" s="226"/>
      <c r="LE4" s="226"/>
      <c r="LF4" s="226"/>
      <c r="LG4" s="226"/>
      <c r="LH4" s="226"/>
      <c r="LI4" s="226"/>
      <c r="LJ4" s="226"/>
      <c r="LK4" s="226"/>
      <c r="LL4" s="226"/>
      <c r="LM4" s="226"/>
      <c r="LN4" s="226"/>
      <c r="LO4" s="226"/>
      <c r="LP4" s="226"/>
      <c r="LQ4" s="226"/>
      <c r="LR4" s="226"/>
      <c r="LS4" s="226"/>
      <c r="LT4" s="226"/>
      <c r="LU4" s="226"/>
      <c r="LV4" s="226"/>
      <c r="LW4" s="226"/>
      <c r="LX4" s="226"/>
      <c r="LY4" s="226"/>
      <c r="LZ4" s="227"/>
      <c r="MA4" s="225" t="s">
        <v>203</v>
      </c>
      <c r="MB4" s="226"/>
      <c r="MC4" s="226"/>
      <c r="MD4" s="226"/>
      <c r="ME4" s="226"/>
      <c r="MF4" s="226"/>
      <c r="MG4" s="226"/>
      <c r="MH4" s="226"/>
      <c r="MI4" s="226"/>
      <c r="MJ4" s="226"/>
      <c r="MK4" s="226"/>
      <c r="ML4" s="226"/>
      <c r="MM4" s="226"/>
      <c r="MN4" s="226"/>
      <c r="MO4" s="226"/>
      <c r="MP4" s="226"/>
      <c r="MQ4" s="226"/>
      <c r="MR4" s="226"/>
      <c r="MS4" s="226"/>
      <c r="MT4" s="226"/>
      <c r="MU4" s="226"/>
      <c r="MV4" s="226"/>
      <c r="MW4" s="226"/>
      <c r="MX4" s="226"/>
      <c r="MY4" s="226"/>
      <c r="MZ4" s="226"/>
      <c r="NA4" s="226"/>
      <c r="NB4" s="226"/>
      <c r="NC4" s="226"/>
      <c r="ND4" s="226"/>
      <c r="NE4" s="227"/>
    </row>
    <row r="5" spans="1:369" ht="15.75" thickBot="1" x14ac:dyDescent="0.3">
      <c r="A5" s="233"/>
      <c r="B5" s="236"/>
      <c r="C5" s="239"/>
      <c r="D5" s="242"/>
      <c r="E5" s="52">
        <v>1</v>
      </c>
      <c r="F5" s="53">
        <v>2</v>
      </c>
      <c r="G5" s="53">
        <v>3</v>
      </c>
      <c r="H5" s="54">
        <v>4</v>
      </c>
      <c r="I5" s="54">
        <v>5</v>
      </c>
      <c r="J5" s="54">
        <v>6</v>
      </c>
      <c r="K5" s="54">
        <v>7</v>
      </c>
      <c r="L5" s="54">
        <v>8</v>
      </c>
      <c r="M5" s="54">
        <v>9</v>
      </c>
      <c r="N5" s="54">
        <v>10</v>
      </c>
      <c r="O5" s="54">
        <v>11</v>
      </c>
      <c r="P5" s="54">
        <v>12</v>
      </c>
      <c r="Q5" s="54">
        <v>13</v>
      </c>
      <c r="R5" s="54">
        <v>14</v>
      </c>
      <c r="S5" s="54">
        <v>15</v>
      </c>
      <c r="T5" s="54">
        <v>16</v>
      </c>
      <c r="U5" s="54">
        <v>17</v>
      </c>
      <c r="V5" s="54">
        <v>18</v>
      </c>
      <c r="W5" s="54">
        <v>19</v>
      </c>
      <c r="X5" s="54">
        <v>20</v>
      </c>
      <c r="Y5" s="54">
        <v>21</v>
      </c>
      <c r="Z5" s="54">
        <v>22</v>
      </c>
      <c r="AA5" s="54">
        <v>23</v>
      </c>
      <c r="AB5" s="54">
        <v>24</v>
      </c>
      <c r="AC5" s="54">
        <v>25</v>
      </c>
      <c r="AD5" s="54">
        <v>26</v>
      </c>
      <c r="AE5" s="54">
        <v>27</v>
      </c>
      <c r="AF5" s="54">
        <v>28</v>
      </c>
      <c r="AG5" s="54">
        <v>29</v>
      </c>
      <c r="AH5" s="54">
        <v>30</v>
      </c>
      <c r="AI5" s="55">
        <v>31</v>
      </c>
      <c r="AJ5" s="56">
        <v>1</v>
      </c>
      <c r="AK5" s="54">
        <v>2</v>
      </c>
      <c r="AL5" s="54">
        <v>3</v>
      </c>
      <c r="AM5" s="54">
        <v>4</v>
      </c>
      <c r="AN5" s="54">
        <v>5</v>
      </c>
      <c r="AO5" s="54">
        <v>6</v>
      </c>
      <c r="AP5" s="54">
        <v>7</v>
      </c>
      <c r="AQ5" s="54">
        <v>8</v>
      </c>
      <c r="AR5" s="54">
        <v>9</v>
      </c>
      <c r="AS5" s="54">
        <v>10</v>
      </c>
      <c r="AT5" s="54">
        <v>11</v>
      </c>
      <c r="AU5" s="54">
        <v>12</v>
      </c>
      <c r="AV5" s="54">
        <v>13</v>
      </c>
      <c r="AW5" s="54">
        <v>14</v>
      </c>
      <c r="AX5" s="54">
        <v>15</v>
      </c>
      <c r="AY5" s="54">
        <v>16</v>
      </c>
      <c r="AZ5" s="54">
        <v>17</v>
      </c>
      <c r="BA5" s="54">
        <v>18</v>
      </c>
      <c r="BB5" s="54">
        <v>19</v>
      </c>
      <c r="BC5" s="54">
        <v>20</v>
      </c>
      <c r="BD5" s="54">
        <v>21</v>
      </c>
      <c r="BE5" s="54">
        <v>22</v>
      </c>
      <c r="BF5" s="54">
        <v>23</v>
      </c>
      <c r="BG5" s="54">
        <v>24</v>
      </c>
      <c r="BH5" s="54">
        <v>25</v>
      </c>
      <c r="BI5" s="54">
        <v>26</v>
      </c>
      <c r="BJ5" s="54">
        <v>27</v>
      </c>
      <c r="BK5" s="55">
        <v>28</v>
      </c>
      <c r="BL5" s="52">
        <v>1</v>
      </c>
      <c r="BM5" s="53">
        <v>2</v>
      </c>
      <c r="BN5" s="53">
        <v>3</v>
      </c>
      <c r="BO5" s="54">
        <v>4</v>
      </c>
      <c r="BP5" s="54">
        <v>5</v>
      </c>
      <c r="BQ5" s="54">
        <v>6</v>
      </c>
      <c r="BR5" s="54">
        <v>7</v>
      </c>
      <c r="BS5" s="54">
        <v>8</v>
      </c>
      <c r="BT5" s="54">
        <v>9</v>
      </c>
      <c r="BU5" s="54">
        <v>10</v>
      </c>
      <c r="BV5" s="54">
        <v>11</v>
      </c>
      <c r="BW5" s="54">
        <v>12</v>
      </c>
      <c r="BX5" s="54">
        <v>13</v>
      </c>
      <c r="BY5" s="54">
        <v>14</v>
      </c>
      <c r="BZ5" s="54">
        <v>15</v>
      </c>
      <c r="CA5" s="54">
        <v>16</v>
      </c>
      <c r="CB5" s="54">
        <v>17</v>
      </c>
      <c r="CC5" s="54">
        <v>18</v>
      </c>
      <c r="CD5" s="54">
        <v>19</v>
      </c>
      <c r="CE5" s="54">
        <v>20</v>
      </c>
      <c r="CF5" s="54">
        <v>21</v>
      </c>
      <c r="CG5" s="54">
        <v>22</v>
      </c>
      <c r="CH5" s="54">
        <v>23</v>
      </c>
      <c r="CI5" s="54">
        <v>24</v>
      </c>
      <c r="CJ5" s="54">
        <v>25</v>
      </c>
      <c r="CK5" s="54">
        <v>26</v>
      </c>
      <c r="CL5" s="54">
        <v>27</v>
      </c>
      <c r="CM5" s="54">
        <v>28</v>
      </c>
      <c r="CN5" s="54">
        <v>29</v>
      </c>
      <c r="CO5" s="54">
        <v>30</v>
      </c>
      <c r="CP5" s="55">
        <v>31</v>
      </c>
      <c r="CQ5" s="56">
        <v>1</v>
      </c>
      <c r="CR5" s="54">
        <v>2</v>
      </c>
      <c r="CS5" s="54">
        <v>3</v>
      </c>
      <c r="CT5" s="54">
        <v>4</v>
      </c>
      <c r="CU5" s="54">
        <v>5</v>
      </c>
      <c r="CV5" s="54">
        <v>6</v>
      </c>
      <c r="CW5" s="54">
        <v>7</v>
      </c>
      <c r="CX5" s="54">
        <v>8</v>
      </c>
      <c r="CY5" s="54">
        <v>9</v>
      </c>
      <c r="CZ5" s="54">
        <v>10</v>
      </c>
      <c r="DA5" s="54">
        <v>11</v>
      </c>
      <c r="DB5" s="54">
        <v>12</v>
      </c>
      <c r="DC5" s="54">
        <v>13</v>
      </c>
      <c r="DD5" s="54">
        <v>14</v>
      </c>
      <c r="DE5" s="54">
        <v>15</v>
      </c>
      <c r="DF5" s="54">
        <v>16</v>
      </c>
      <c r="DG5" s="54">
        <v>17</v>
      </c>
      <c r="DH5" s="54">
        <v>18</v>
      </c>
      <c r="DI5" s="54">
        <v>19</v>
      </c>
      <c r="DJ5" s="54">
        <v>20</v>
      </c>
      <c r="DK5" s="54">
        <v>21</v>
      </c>
      <c r="DL5" s="54">
        <v>22</v>
      </c>
      <c r="DM5" s="54">
        <v>23</v>
      </c>
      <c r="DN5" s="54">
        <v>24</v>
      </c>
      <c r="DO5" s="54">
        <v>25</v>
      </c>
      <c r="DP5" s="54">
        <v>26</v>
      </c>
      <c r="DQ5" s="54">
        <v>27</v>
      </c>
      <c r="DR5" s="54">
        <v>28</v>
      </c>
      <c r="DS5" s="54">
        <v>29</v>
      </c>
      <c r="DT5" s="55">
        <v>30</v>
      </c>
      <c r="DU5" s="52">
        <v>1</v>
      </c>
      <c r="DV5" s="53">
        <v>2</v>
      </c>
      <c r="DW5" s="53">
        <v>3</v>
      </c>
      <c r="DX5" s="54">
        <v>4</v>
      </c>
      <c r="DY5" s="54">
        <v>5</v>
      </c>
      <c r="DZ5" s="54">
        <v>6</v>
      </c>
      <c r="EA5" s="54">
        <v>7</v>
      </c>
      <c r="EB5" s="54">
        <v>8</v>
      </c>
      <c r="EC5" s="54">
        <v>9</v>
      </c>
      <c r="ED5" s="54">
        <v>10</v>
      </c>
      <c r="EE5" s="54">
        <v>11</v>
      </c>
      <c r="EF5" s="54">
        <v>12</v>
      </c>
      <c r="EG5" s="54">
        <v>13</v>
      </c>
      <c r="EH5" s="54">
        <v>14</v>
      </c>
      <c r="EI5" s="54">
        <v>15</v>
      </c>
      <c r="EJ5" s="54">
        <v>16</v>
      </c>
      <c r="EK5" s="54">
        <v>17</v>
      </c>
      <c r="EL5" s="54">
        <v>18</v>
      </c>
      <c r="EM5" s="54">
        <v>19</v>
      </c>
      <c r="EN5" s="54">
        <v>20</v>
      </c>
      <c r="EO5" s="54">
        <v>21</v>
      </c>
      <c r="EP5" s="54">
        <v>22</v>
      </c>
      <c r="EQ5" s="54">
        <v>23</v>
      </c>
      <c r="ER5" s="54">
        <v>24</v>
      </c>
      <c r="ES5" s="54">
        <v>25</v>
      </c>
      <c r="ET5" s="54">
        <v>26</v>
      </c>
      <c r="EU5" s="54">
        <v>27</v>
      </c>
      <c r="EV5" s="54">
        <v>28</v>
      </c>
      <c r="EW5" s="54">
        <v>29</v>
      </c>
      <c r="EX5" s="54">
        <v>30</v>
      </c>
      <c r="EY5" s="55">
        <v>31</v>
      </c>
      <c r="EZ5" s="56">
        <v>1</v>
      </c>
      <c r="FA5" s="54">
        <v>2</v>
      </c>
      <c r="FB5" s="54">
        <v>3</v>
      </c>
      <c r="FC5" s="54">
        <v>4</v>
      </c>
      <c r="FD5" s="54">
        <v>5</v>
      </c>
      <c r="FE5" s="54">
        <v>6</v>
      </c>
      <c r="FF5" s="54">
        <v>7</v>
      </c>
      <c r="FG5" s="54">
        <v>8</v>
      </c>
      <c r="FH5" s="54">
        <v>9</v>
      </c>
      <c r="FI5" s="54">
        <v>10</v>
      </c>
      <c r="FJ5" s="54">
        <v>11</v>
      </c>
      <c r="FK5" s="54">
        <v>12</v>
      </c>
      <c r="FL5" s="54">
        <v>13</v>
      </c>
      <c r="FM5" s="54">
        <v>14</v>
      </c>
      <c r="FN5" s="54">
        <v>15</v>
      </c>
      <c r="FO5" s="54">
        <v>16</v>
      </c>
      <c r="FP5" s="54">
        <v>17</v>
      </c>
      <c r="FQ5" s="54">
        <v>18</v>
      </c>
      <c r="FR5" s="54">
        <v>19</v>
      </c>
      <c r="FS5" s="54">
        <v>20</v>
      </c>
      <c r="FT5" s="54">
        <v>21</v>
      </c>
      <c r="FU5" s="54">
        <v>22</v>
      </c>
      <c r="FV5" s="54">
        <v>23</v>
      </c>
      <c r="FW5" s="54">
        <v>24</v>
      </c>
      <c r="FX5" s="54">
        <v>25</v>
      </c>
      <c r="FY5" s="54">
        <v>26</v>
      </c>
      <c r="FZ5" s="54">
        <v>27</v>
      </c>
      <c r="GA5" s="54">
        <v>28</v>
      </c>
      <c r="GB5" s="54">
        <v>29</v>
      </c>
      <c r="GC5" s="55">
        <v>30</v>
      </c>
      <c r="GD5" s="52">
        <v>1</v>
      </c>
      <c r="GE5" s="53">
        <v>2</v>
      </c>
      <c r="GF5" s="53">
        <v>3</v>
      </c>
      <c r="GG5" s="54">
        <v>4</v>
      </c>
      <c r="GH5" s="54">
        <v>5</v>
      </c>
      <c r="GI5" s="54">
        <v>6</v>
      </c>
      <c r="GJ5" s="54">
        <v>7</v>
      </c>
      <c r="GK5" s="54">
        <v>8</v>
      </c>
      <c r="GL5" s="54">
        <v>9</v>
      </c>
      <c r="GM5" s="54">
        <v>10</v>
      </c>
      <c r="GN5" s="54">
        <v>11</v>
      </c>
      <c r="GO5" s="54">
        <v>12</v>
      </c>
      <c r="GP5" s="54">
        <v>13</v>
      </c>
      <c r="GQ5" s="54">
        <v>14</v>
      </c>
      <c r="GR5" s="54">
        <v>15</v>
      </c>
      <c r="GS5" s="54">
        <v>16</v>
      </c>
      <c r="GT5" s="54">
        <v>17</v>
      </c>
      <c r="GU5" s="54">
        <v>18</v>
      </c>
      <c r="GV5" s="54">
        <v>19</v>
      </c>
      <c r="GW5" s="54">
        <v>20</v>
      </c>
      <c r="GX5" s="54">
        <v>21</v>
      </c>
      <c r="GY5" s="54">
        <v>22</v>
      </c>
      <c r="GZ5" s="54">
        <v>23</v>
      </c>
      <c r="HA5" s="54">
        <v>24</v>
      </c>
      <c r="HB5" s="54">
        <v>25</v>
      </c>
      <c r="HC5" s="54">
        <v>26</v>
      </c>
      <c r="HD5" s="54">
        <v>27</v>
      </c>
      <c r="HE5" s="54">
        <v>28</v>
      </c>
      <c r="HF5" s="54">
        <v>29</v>
      </c>
      <c r="HG5" s="54">
        <v>30</v>
      </c>
      <c r="HH5" s="55">
        <v>31</v>
      </c>
      <c r="HI5" s="52">
        <v>1</v>
      </c>
      <c r="HJ5" s="53">
        <v>2</v>
      </c>
      <c r="HK5" s="53">
        <v>3</v>
      </c>
      <c r="HL5" s="54">
        <v>4</v>
      </c>
      <c r="HM5" s="54">
        <v>5</v>
      </c>
      <c r="HN5" s="54">
        <v>6</v>
      </c>
      <c r="HO5" s="54">
        <v>7</v>
      </c>
      <c r="HP5" s="54">
        <v>8</v>
      </c>
      <c r="HQ5" s="54">
        <v>9</v>
      </c>
      <c r="HR5" s="54">
        <v>10</v>
      </c>
      <c r="HS5" s="54">
        <v>11</v>
      </c>
      <c r="HT5" s="54">
        <v>12</v>
      </c>
      <c r="HU5" s="54">
        <v>13</v>
      </c>
      <c r="HV5" s="54">
        <v>14</v>
      </c>
      <c r="HW5" s="54">
        <v>15</v>
      </c>
      <c r="HX5" s="54">
        <v>16</v>
      </c>
      <c r="HY5" s="54">
        <v>17</v>
      </c>
      <c r="HZ5" s="54">
        <v>18</v>
      </c>
      <c r="IA5" s="54">
        <v>19</v>
      </c>
      <c r="IB5" s="54">
        <v>20</v>
      </c>
      <c r="IC5" s="54">
        <v>21</v>
      </c>
      <c r="ID5" s="54">
        <v>22</v>
      </c>
      <c r="IE5" s="54">
        <v>23</v>
      </c>
      <c r="IF5" s="54">
        <v>24</v>
      </c>
      <c r="IG5" s="54">
        <v>25</v>
      </c>
      <c r="IH5" s="54">
        <v>26</v>
      </c>
      <c r="II5" s="54">
        <v>27</v>
      </c>
      <c r="IJ5" s="54">
        <v>28</v>
      </c>
      <c r="IK5" s="54">
        <v>29</v>
      </c>
      <c r="IL5" s="54">
        <v>30</v>
      </c>
      <c r="IM5" s="55">
        <v>31</v>
      </c>
      <c r="IN5" s="56">
        <v>1</v>
      </c>
      <c r="IO5" s="54">
        <v>2</v>
      </c>
      <c r="IP5" s="54">
        <v>3</v>
      </c>
      <c r="IQ5" s="54">
        <v>4</v>
      </c>
      <c r="IR5" s="54">
        <v>5</v>
      </c>
      <c r="IS5" s="54">
        <v>6</v>
      </c>
      <c r="IT5" s="54">
        <v>7</v>
      </c>
      <c r="IU5" s="54">
        <v>8</v>
      </c>
      <c r="IV5" s="54">
        <v>9</v>
      </c>
      <c r="IW5" s="54">
        <v>10</v>
      </c>
      <c r="IX5" s="54">
        <v>11</v>
      </c>
      <c r="IY5" s="54">
        <v>12</v>
      </c>
      <c r="IZ5" s="54">
        <v>13</v>
      </c>
      <c r="JA5" s="54">
        <v>14</v>
      </c>
      <c r="JB5" s="54">
        <v>15</v>
      </c>
      <c r="JC5" s="54">
        <v>16</v>
      </c>
      <c r="JD5" s="54">
        <v>17</v>
      </c>
      <c r="JE5" s="54">
        <v>18</v>
      </c>
      <c r="JF5" s="54">
        <v>19</v>
      </c>
      <c r="JG5" s="54">
        <v>20</v>
      </c>
      <c r="JH5" s="54">
        <v>21</v>
      </c>
      <c r="JI5" s="54">
        <v>22</v>
      </c>
      <c r="JJ5" s="54">
        <v>23</v>
      </c>
      <c r="JK5" s="54">
        <v>24</v>
      </c>
      <c r="JL5" s="54">
        <v>25</v>
      </c>
      <c r="JM5" s="54">
        <v>26</v>
      </c>
      <c r="JN5" s="54">
        <v>27</v>
      </c>
      <c r="JO5" s="54">
        <v>28</v>
      </c>
      <c r="JP5" s="54">
        <v>29</v>
      </c>
      <c r="JQ5" s="55">
        <v>30</v>
      </c>
      <c r="JR5" s="52">
        <v>1</v>
      </c>
      <c r="JS5" s="53">
        <v>2</v>
      </c>
      <c r="JT5" s="53">
        <v>3</v>
      </c>
      <c r="JU5" s="54">
        <v>4</v>
      </c>
      <c r="JV5" s="54">
        <v>5</v>
      </c>
      <c r="JW5" s="54">
        <v>6</v>
      </c>
      <c r="JX5" s="54">
        <v>7</v>
      </c>
      <c r="JY5" s="54">
        <v>8</v>
      </c>
      <c r="JZ5" s="54">
        <v>9</v>
      </c>
      <c r="KA5" s="54">
        <v>10</v>
      </c>
      <c r="KB5" s="54">
        <v>11</v>
      </c>
      <c r="KC5" s="54">
        <v>12</v>
      </c>
      <c r="KD5" s="54">
        <v>13</v>
      </c>
      <c r="KE5" s="54">
        <v>14</v>
      </c>
      <c r="KF5" s="54">
        <v>15</v>
      </c>
      <c r="KG5" s="54">
        <v>16</v>
      </c>
      <c r="KH5" s="54">
        <v>17</v>
      </c>
      <c r="KI5" s="54">
        <v>18</v>
      </c>
      <c r="KJ5" s="54">
        <v>19</v>
      </c>
      <c r="KK5" s="54">
        <v>20</v>
      </c>
      <c r="KL5" s="54">
        <v>21</v>
      </c>
      <c r="KM5" s="54">
        <v>22</v>
      </c>
      <c r="KN5" s="54">
        <v>23</v>
      </c>
      <c r="KO5" s="54">
        <v>24</v>
      </c>
      <c r="KP5" s="54">
        <v>25</v>
      </c>
      <c r="KQ5" s="54">
        <v>26</v>
      </c>
      <c r="KR5" s="54">
        <v>27</v>
      </c>
      <c r="KS5" s="54">
        <v>28</v>
      </c>
      <c r="KT5" s="54">
        <v>29</v>
      </c>
      <c r="KU5" s="54">
        <v>30</v>
      </c>
      <c r="KV5" s="55">
        <v>31</v>
      </c>
      <c r="KW5" s="56">
        <v>1</v>
      </c>
      <c r="KX5" s="54">
        <v>2</v>
      </c>
      <c r="KY5" s="54">
        <v>3</v>
      </c>
      <c r="KZ5" s="54">
        <v>4</v>
      </c>
      <c r="LA5" s="54">
        <v>5</v>
      </c>
      <c r="LB5" s="54">
        <v>6</v>
      </c>
      <c r="LC5" s="54">
        <v>7</v>
      </c>
      <c r="LD5" s="54">
        <v>8</v>
      </c>
      <c r="LE5" s="54">
        <v>9</v>
      </c>
      <c r="LF5" s="54">
        <v>10</v>
      </c>
      <c r="LG5" s="54">
        <v>11</v>
      </c>
      <c r="LH5" s="54">
        <v>12</v>
      </c>
      <c r="LI5" s="54">
        <v>13</v>
      </c>
      <c r="LJ5" s="54">
        <v>14</v>
      </c>
      <c r="LK5" s="54">
        <v>15</v>
      </c>
      <c r="LL5" s="54">
        <v>16</v>
      </c>
      <c r="LM5" s="54">
        <v>17</v>
      </c>
      <c r="LN5" s="54">
        <v>18</v>
      </c>
      <c r="LO5" s="54">
        <v>19</v>
      </c>
      <c r="LP5" s="54">
        <v>20</v>
      </c>
      <c r="LQ5" s="54">
        <v>21</v>
      </c>
      <c r="LR5" s="54">
        <v>22</v>
      </c>
      <c r="LS5" s="54">
        <v>23</v>
      </c>
      <c r="LT5" s="54">
        <v>24</v>
      </c>
      <c r="LU5" s="54">
        <v>25</v>
      </c>
      <c r="LV5" s="54">
        <v>26</v>
      </c>
      <c r="LW5" s="54">
        <v>27</v>
      </c>
      <c r="LX5" s="54">
        <v>28</v>
      </c>
      <c r="LY5" s="54">
        <v>29</v>
      </c>
      <c r="LZ5" s="55">
        <v>30</v>
      </c>
      <c r="MA5" s="52">
        <v>1</v>
      </c>
      <c r="MB5" s="53">
        <v>2</v>
      </c>
      <c r="MC5" s="53">
        <v>3</v>
      </c>
      <c r="MD5" s="54">
        <v>4</v>
      </c>
      <c r="ME5" s="54">
        <v>5</v>
      </c>
      <c r="MF5" s="54">
        <v>6</v>
      </c>
      <c r="MG5" s="54">
        <v>7</v>
      </c>
      <c r="MH5" s="54">
        <v>8</v>
      </c>
      <c r="MI5" s="54">
        <v>9</v>
      </c>
      <c r="MJ5" s="54">
        <v>10</v>
      </c>
      <c r="MK5" s="54">
        <v>11</v>
      </c>
      <c r="ML5" s="54">
        <v>12</v>
      </c>
      <c r="MM5" s="54">
        <v>13</v>
      </c>
      <c r="MN5" s="54">
        <v>14</v>
      </c>
      <c r="MO5" s="54">
        <v>15</v>
      </c>
      <c r="MP5" s="54">
        <v>16</v>
      </c>
      <c r="MQ5" s="54">
        <v>17</v>
      </c>
      <c r="MR5" s="54">
        <v>18</v>
      </c>
      <c r="MS5" s="54">
        <v>19</v>
      </c>
      <c r="MT5" s="54">
        <v>20</v>
      </c>
      <c r="MU5" s="54">
        <v>21</v>
      </c>
      <c r="MV5" s="54">
        <v>22</v>
      </c>
      <c r="MW5" s="54">
        <v>23</v>
      </c>
      <c r="MX5" s="54">
        <v>24</v>
      </c>
      <c r="MY5" s="54">
        <v>25</v>
      </c>
      <c r="MZ5" s="54">
        <v>26</v>
      </c>
      <c r="NA5" s="54">
        <v>27</v>
      </c>
      <c r="NB5" s="54">
        <v>28</v>
      </c>
      <c r="NC5" s="54">
        <v>29</v>
      </c>
      <c r="ND5" s="54">
        <v>30</v>
      </c>
      <c r="NE5" s="55">
        <v>31</v>
      </c>
    </row>
    <row r="6" spans="1:369" x14ac:dyDescent="0.25">
      <c r="A6" s="57"/>
      <c r="B6" s="58"/>
      <c r="C6" s="59"/>
      <c r="D6" s="59"/>
      <c r="E6" s="60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60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2"/>
      <c r="BL6" s="60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2"/>
      <c r="CQ6" s="60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1"/>
      <c r="DS6" s="61"/>
      <c r="DT6" s="62"/>
      <c r="DU6" s="60"/>
      <c r="DV6" s="61"/>
      <c r="DW6" s="61"/>
      <c r="DX6" s="61"/>
      <c r="DY6" s="61"/>
      <c r="DZ6" s="61"/>
      <c r="EA6" s="61"/>
      <c r="EB6" s="61"/>
      <c r="EC6" s="61"/>
      <c r="ED6" s="61"/>
      <c r="EE6" s="61"/>
      <c r="EF6" s="61"/>
      <c r="EG6" s="61"/>
      <c r="EH6" s="61"/>
      <c r="EI6" s="61"/>
      <c r="EJ6" s="61"/>
      <c r="EK6" s="61"/>
      <c r="EL6" s="61"/>
      <c r="EM6" s="61"/>
      <c r="EN6" s="61"/>
      <c r="EO6" s="61"/>
      <c r="EP6" s="61"/>
      <c r="EQ6" s="61"/>
      <c r="ER6" s="61"/>
      <c r="ES6" s="61"/>
      <c r="ET6" s="61"/>
      <c r="EU6" s="61"/>
      <c r="EV6" s="61"/>
      <c r="EW6" s="61"/>
      <c r="EX6" s="61"/>
      <c r="EY6" s="62"/>
      <c r="EZ6" s="60"/>
      <c r="FA6" s="61"/>
      <c r="FB6" s="61"/>
      <c r="FC6" s="61"/>
      <c r="FD6" s="61"/>
      <c r="FE6" s="61"/>
      <c r="FF6" s="61"/>
      <c r="FG6" s="61"/>
      <c r="FH6" s="61"/>
      <c r="FI6" s="61"/>
      <c r="FJ6" s="61"/>
      <c r="FK6" s="61"/>
      <c r="FL6" s="61"/>
      <c r="FM6" s="61"/>
      <c r="FN6" s="61"/>
      <c r="FO6" s="61"/>
      <c r="FP6" s="61"/>
      <c r="FQ6" s="61"/>
      <c r="FR6" s="61"/>
      <c r="FS6" s="61"/>
      <c r="FT6" s="61"/>
      <c r="FU6" s="61"/>
      <c r="FV6" s="61"/>
      <c r="FW6" s="61"/>
      <c r="FX6" s="61"/>
      <c r="FY6" s="61"/>
      <c r="FZ6" s="61"/>
      <c r="GA6" s="61"/>
      <c r="GB6" s="61"/>
      <c r="GC6" s="62"/>
      <c r="GD6" s="60"/>
      <c r="GE6" s="61"/>
      <c r="GF6" s="61"/>
      <c r="GG6" s="61"/>
      <c r="GH6" s="61"/>
      <c r="GI6" s="61"/>
      <c r="GJ6" s="61"/>
      <c r="GK6" s="61"/>
      <c r="GL6" s="61"/>
      <c r="GM6" s="61"/>
      <c r="GN6" s="61"/>
      <c r="GO6" s="61"/>
      <c r="GP6" s="61"/>
      <c r="GQ6" s="61"/>
      <c r="GR6" s="61"/>
      <c r="GS6" s="61"/>
      <c r="GT6" s="61"/>
      <c r="GU6" s="61"/>
      <c r="GV6" s="61"/>
      <c r="GW6" s="61"/>
      <c r="GX6" s="61"/>
      <c r="GY6" s="61"/>
      <c r="GZ6" s="61"/>
      <c r="HA6" s="61"/>
      <c r="HB6" s="61"/>
      <c r="HC6" s="61"/>
      <c r="HD6" s="61"/>
      <c r="HE6" s="61"/>
      <c r="HF6" s="61"/>
      <c r="HG6" s="61"/>
      <c r="HH6" s="62"/>
      <c r="HI6" s="60"/>
      <c r="HJ6" s="61"/>
      <c r="HK6" s="61"/>
      <c r="HL6" s="61"/>
      <c r="HM6" s="61"/>
      <c r="HN6" s="61"/>
      <c r="HO6" s="61"/>
      <c r="HP6" s="61"/>
      <c r="HQ6" s="61"/>
      <c r="HR6" s="61"/>
      <c r="HS6" s="61"/>
      <c r="HT6" s="61"/>
      <c r="HU6" s="61"/>
      <c r="HV6" s="61"/>
      <c r="HW6" s="61"/>
      <c r="HX6" s="61"/>
      <c r="HY6" s="61"/>
      <c r="HZ6" s="61"/>
      <c r="IA6" s="61"/>
      <c r="IB6" s="61"/>
      <c r="IC6" s="61"/>
      <c r="ID6" s="61"/>
      <c r="IE6" s="61"/>
      <c r="IF6" s="61"/>
      <c r="IG6" s="61"/>
      <c r="IH6" s="61"/>
      <c r="II6" s="61"/>
      <c r="IJ6" s="61"/>
      <c r="IK6" s="61"/>
      <c r="IL6" s="61"/>
      <c r="IM6" s="62"/>
      <c r="IN6" s="60"/>
      <c r="IO6" s="61"/>
      <c r="IP6" s="61"/>
      <c r="IQ6" s="61"/>
      <c r="IR6" s="61"/>
      <c r="IS6" s="61"/>
      <c r="IT6" s="61"/>
      <c r="IU6" s="61"/>
      <c r="IV6" s="61"/>
      <c r="IW6" s="61"/>
      <c r="IX6" s="61"/>
      <c r="IY6" s="61"/>
      <c r="IZ6" s="61"/>
      <c r="JA6" s="61"/>
      <c r="JB6" s="61"/>
      <c r="JC6" s="61"/>
      <c r="JD6" s="61"/>
      <c r="JE6" s="61"/>
      <c r="JF6" s="61"/>
      <c r="JG6" s="61"/>
      <c r="JH6" s="61"/>
      <c r="JI6" s="61"/>
      <c r="JJ6" s="61"/>
      <c r="JK6" s="61"/>
      <c r="JL6" s="61"/>
      <c r="JM6" s="61"/>
      <c r="JN6" s="61"/>
      <c r="JO6" s="61"/>
      <c r="JP6" s="61"/>
      <c r="JQ6" s="62"/>
      <c r="JR6" s="60"/>
      <c r="JS6" s="61"/>
      <c r="JT6" s="61"/>
      <c r="JU6" s="61"/>
      <c r="JV6" s="61"/>
      <c r="JW6" s="61"/>
      <c r="JX6" s="61"/>
      <c r="JY6" s="61"/>
      <c r="JZ6" s="61"/>
      <c r="KA6" s="61"/>
      <c r="KB6" s="61"/>
      <c r="KC6" s="61"/>
      <c r="KD6" s="61"/>
      <c r="KE6" s="61"/>
      <c r="KF6" s="61"/>
      <c r="KG6" s="61"/>
      <c r="KH6" s="61"/>
      <c r="KI6" s="61"/>
      <c r="KJ6" s="61"/>
      <c r="KK6" s="61"/>
      <c r="KL6" s="61"/>
      <c r="KM6" s="61"/>
      <c r="KN6" s="61"/>
      <c r="KO6" s="61"/>
      <c r="KP6" s="61"/>
      <c r="KQ6" s="61"/>
      <c r="KR6" s="61"/>
      <c r="KS6" s="61"/>
      <c r="KT6" s="61"/>
      <c r="KU6" s="61"/>
      <c r="KV6" s="62"/>
      <c r="KW6" s="60"/>
      <c r="KX6" s="61"/>
      <c r="KY6" s="61"/>
      <c r="KZ6" s="61"/>
      <c r="LA6" s="61"/>
      <c r="LB6" s="61"/>
      <c r="LC6" s="61"/>
      <c r="LD6" s="61"/>
      <c r="LE6" s="61"/>
      <c r="LF6" s="61"/>
      <c r="LG6" s="61"/>
      <c r="LH6" s="61"/>
      <c r="LI6" s="61"/>
      <c r="LJ6" s="61"/>
      <c r="LK6" s="61"/>
      <c r="LL6" s="61"/>
      <c r="LM6" s="61"/>
      <c r="LN6" s="61"/>
      <c r="LO6" s="61"/>
      <c r="LP6" s="61"/>
      <c r="LQ6" s="61"/>
      <c r="LR6" s="61"/>
      <c r="LS6" s="61"/>
      <c r="LT6" s="61"/>
      <c r="LU6" s="61"/>
      <c r="LV6" s="61"/>
      <c r="LW6" s="61"/>
      <c r="LX6" s="61"/>
      <c r="LY6" s="61"/>
      <c r="LZ6" s="62"/>
      <c r="MA6" s="60"/>
      <c r="MB6" s="61"/>
      <c r="MC6" s="61"/>
      <c r="MD6" s="61"/>
      <c r="ME6" s="61"/>
      <c r="MF6" s="61"/>
      <c r="MG6" s="61"/>
      <c r="MH6" s="61"/>
      <c r="MI6" s="61"/>
      <c r="MJ6" s="61"/>
      <c r="MK6" s="61"/>
      <c r="ML6" s="61"/>
      <c r="MM6" s="61"/>
      <c r="MN6" s="61"/>
      <c r="MO6" s="61"/>
      <c r="MP6" s="61"/>
      <c r="MQ6" s="61"/>
      <c r="MR6" s="61"/>
      <c r="MS6" s="61"/>
      <c r="MT6" s="61"/>
      <c r="MU6" s="61"/>
      <c r="MV6" s="61"/>
      <c r="MW6" s="61"/>
      <c r="MX6" s="61"/>
      <c r="MY6" s="61"/>
      <c r="MZ6" s="61"/>
      <c r="NA6" s="61"/>
      <c r="NB6" s="61"/>
      <c r="NC6" s="61"/>
      <c r="ND6" s="61"/>
      <c r="NE6" s="62"/>
    </row>
    <row r="7" spans="1:369" x14ac:dyDescent="0.25">
      <c r="A7" s="63"/>
      <c r="B7" s="64"/>
      <c r="C7" s="65"/>
      <c r="D7" s="65"/>
      <c r="E7" s="66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8"/>
      <c r="AJ7" s="66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8"/>
      <c r="BL7" s="66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8"/>
      <c r="CQ7" s="66"/>
      <c r="CR7" s="67"/>
      <c r="CS7" s="67"/>
      <c r="CT7" s="67"/>
      <c r="CU7" s="67"/>
      <c r="CV7" s="67"/>
      <c r="CW7" s="67"/>
      <c r="CX7" s="67"/>
      <c r="CY7" s="67"/>
      <c r="CZ7" s="67"/>
      <c r="DA7" s="67"/>
      <c r="DB7" s="67"/>
      <c r="DC7" s="67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8"/>
      <c r="DU7" s="66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7"/>
      <c r="EG7" s="67"/>
      <c r="EH7" s="67"/>
      <c r="EI7" s="67"/>
      <c r="EJ7" s="67"/>
      <c r="EK7" s="67"/>
      <c r="EL7" s="67"/>
      <c r="EM7" s="67"/>
      <c r="EN7" s="67"/>
      <c r="EO7" s="67"/>
      <c r="EP7" s="67"/>
      <c r="EQ7" s="67"/>
      <c r="ER7" s="67"/>
      <c r="ES7" s="67"/>
      <c r="ET7" s="67"/>
      <c r="EU7" s="67"/>
      <c r="EV7" s="67"/>
      <c r="EW7" s="67"/>
      <c r="EX7" s="67"/>
      <c r="EY7" s="68"/>
      <c r="EZ7" s="66"/>
      <c r="FA7" s="67"/>
      <c r="FB7" s="67"/>
      <c r="FC7" s="67"/>
      <c r="FD7" s="67"/>
      <c r="FE7" s="67"/>
      <c r="FF7" s="67"/>
      <c r="FG7" s="67"/>
      <c r="FH7" s="67"/>
      <c r="FI7" s="67"/>
      <c r="FJ7" s="67"/>
      <c r="FK7" s="67"/>
      <c r="FL7" s="67"/>
      <c r="FM7" s="67"/>
      <c r="FN7" s="67"/>
      <c r="FO7" s="67"/>
      <c r="FP7" s="67"/>
      <c r="FQ7" s="67"/>
      <c r="FR7" s="67"/>
      <c r="FS7" s="67"/>
      <c r="FT7" s="67"/>
      <c r="FU7" s="67"/>
      <c r="FV7" s="67"/>
      <c r="FW7" s="67"/>
      <c r="FX7" s="67"/>
      <c r="FY7" s="67"/>
      <c r="FZ7" s="67"/>
      <c r="GA7" s="67"/>
      <c r="GB7" s="67"/>
      <c r="GC7" s="68"/>
      <c r="GD7" s="66"/>
      <c r="GE7" s="67"/>
      <c r="GF7" s="67"/>
      <c r="GG7" s="67"/>
      <c r="GH7" s="67"/>
      <c r="GI7" s="67"/>
      <c r="GJ7" s="67"/>
      <c r="GK7" s="67"/>
      <c r="GL7" s="67"/>
      <c r="GM7" s="67"/>
      <c r="GN7" s="67"/>
      <c r="GO7" s="67"/>
      <c r="GP7" s="67"/>
      <c r="GQ7" s="67"/>
      <c r="GR7" s="67"/>
      <c r="GS7" s="67"/>
      <c r="GT7" s="67"/>
      <c r="GU7" s="67"/>
      <c r="GV7" s="67"/>
      <c r="GW7" s="67"/>
      <c r="GX7" s="67"/>
      <c r="GY7" s="67"/>
      <c r="GZ7" s="67"/>
      <c r="HA7" s="67"/>
      <c r="HB7" s="67"/>
      <c r="HC7" s="67"/>
      <c r="HD7" s="67"/>
      <c r="HE7" s="67"/>
      <c r="HF7" s="67"/>
      <c r="HG7" s="67"/>
      <c r="HH7" s="68"/>
      <c r="HI7" s="66"/>
      <c r="HJ7" s="67"/>
      <c r="HK7" s="67"/>
      <c r="HL7" s="67"/>
      <c r="HM7" s="67"/>
      <c r="HN7" s="67"/>
      <c r="HO7" s="67"/>
      <c r="HP7" s="67"/>
      <c r="HQ7" s="67"/>
      <c r="HR7" s="67"/>
      <c r="HS7" s="67"/>
      <c r="HT7" s="67"/>
      <c r="HU7" s="67"/>
      <c r="HV7" s="67"/>
      <c r="HW7" s="67"/>
      <c r="HX7" s="67"/>
      <c r="HY7" s="67"/>
      <c r="HZ7" s="67"/>
      <c r="IA7" s="67"/>
      <c r="IB7" s="67"/>
      <c r="IC7" s="67"/>
      <c r="ID7" s="67"/>
      <c r="IE7" s="67"/>
      <c r="IF7" s="67"/>
      <c r="IG7" s="67"/>
      <c r="IH7" s="67"/>
      <c r="II7" s="67"/>
      <c r="IJ7" s="67"/>
      <c r="IK7" s="67"/>
      <c r="IL7" s="67"/>
      <c r="IM7" s="68"/>
      <c r="IN7" s="66"/>
      <c r="IO7" s="67"/>
      <c r="IP7" s="67"/>
      <c r="IQ7" s="67"/>
      <c r="IR7" s="67"/>
      <c r="IS7" s="67"/>
      <c r="IT7" s="67"/>
      <c r="IU7" s="67"/>
      <c r="IV7" s="67"/>
      <c r="IW7" s="67"/>
      <c r="IX7" s="67"/>
      <c r="IY7" s="67"/>
      <c r="IZ7" s="67"/>
      <c r="JA7" s="67"/>
      <c r="JB7" s="67"/>
      <c r="JC7" s="67"/>
      <c r="JD7" s="67"/>
      <c r="JE7" s="67"/>
      <c r="JF7" s="67"/>
      <c r="JG7" s="67"/>
      <c r="JH7" s="67"/>
      <c r="JI7" s="67"/>
      <c r="JJ7" s="67"/>
      <c r="JK7" s="67"/>
      <c r="JL7" s="67"/>
      <c r="JM7" s="67"/>
      <c r="JN7" s="67"/>
      <c r="JO7" s="67"/>
      <c r="JP7" s="67"/>
      <c r="JQ7" s="68"/>
      <c r="JR7" s="66"/>
      <c r="JS7" s="67"/>
      <c r="JT7" s="67"/>
      <c r="JU7" s="67"/>
      <c r="JV7" s="67"/>
      <c r="JW7" s="67"/>
      <c r="JX7" s="67"/>
      <c r="JY7" s="67"/>
      <c r="JZ7" s="67"/>
      <c r="KA7" s="67"/>
      <c r="KB7" s="67"/>
      <c r="KC7" s="67"/>
      <c r="KD7" s="67"/>
      <c r="KE7" s="67"/>
      <c r="KF7" s="67"/>
      <c r="KG7" s="67"/>
      <c r="KH7" s="67"/>
      <c r="KI7" s="67"/>
      <c r="KJ7" s="67"/>
      <c r="KK7" s="67"/>
      <c r="KL7" s="67"/>
      <c r="KM7" s="67"/>
      <c r="KN7" s="67"/>
      <c r="KO7" s="67"/>
      <c r="KP7" s="67"/>
      <c r="KQ7" s="67"/>
      <c r="KR7" s="67"/>
      <c r="KS7" s="67"/>
      <c r="KT7" s="67"/>
      <c r="KU7" s="67"/>
      <c r="KV7" s="68"/>
      <c r="KW7" s="66"/>
      <c r="KX7" s="67"/>
      <c r="KY7" s="67"/>
      <c r="KZ7" s="67"/>
      <c r="LA7" s="67"/>
      <c r="LB7" s="67"/>
      <c r="LC7" s="67"/>
      <c r="LD7" s="67"/>
      <c r="LE7" s="67"/>
      <c r="LF7" s="67"/>
      <c r="LG7" s="67"/>
      <c r="LH7" s="67"/>
      <c r="LI7" s="67"/>
      <c r="LJ7" s="67"/>
      <c r="LK7" s="67"/>
      <c r="LL7" s="67"/>
      <c r="LM7" s="67"/>
      <c r="LN7" s="67"/>
      <c r="LO7" s="67"/>
      <c r="LP7" s="67"/>
      <c r="LQ7" s="67"/>
      <c r="LR7" s="67"/>
      <c r="LS7" s="67"/>
      <c r="LT7" s="67"/>
      <c r="LU7" s="67"/>
      <c r="LV7" s="67"/>
      <c r="LW7" s="67"/>
      <c r="LX7" s="67"/>
      <c r="LY7" s="67"/>
      <c r="LZ7" s="68"/>
      <c r="MA7" s="66"/>
      <c r="MB7" s="67"/>
      <c r="MC7" s="67"/>
      <c r="MD7" s="67"/>
      <c r="ME7" s="67"/>
      <c r="MF7" s="67"/>
      <c r="MG7" s="67"/>
      <c r="MH7" s="67"/>
      <c r="MI7" s="67"/>
      <c r="MJ7" s="67"/>
      <c r="MK7" s="67"/>
      <c r="ML7" s="67"/>
      <c r="MM7" s="67"/>
      <c r="MN7" s="67"/>
      <c r="MO7" s="67"/>
      <c r="MP7" s="67"/>
      <c r="MQ7" s="67"/>
      <c r="MR7" s="67"/>
      <c r="MS7" s="67"/>
      <c r="MT7" s="67"/>
      <c r="MU7" s="67"/>
      <c r="MV7" s="67"/>
      <c r="MW7" s="67"/>
      <c r="MX7" s="67"/>
      <c r="MY7" s="67"/>
      <c r="MZ7" s="67"/>
      <c r="NA7" s="67"/>
      <c r="NB7" s="67"/>
      <c r="NC7" s="67"/>
      <c r="ND7" s="67"/>
      <c r="NE7" s="68"/>
    </row>
    <row r="8" spans="1:369" x14ac:dyDescent="0.25">
      <c r="A8" s="57"/>
      <c r="B8" s="64"/>
      <c r="C8" s="65"/>
      <c r="D8" s="65"/>
      <c r="E8" s="66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8"/>
      <c r="AJ8" s="66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8"/>
      <c r="BL8" s="66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8"/>
      <c r="CQ8" s="66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8"/>
      <c r="DU8" s="66"/>
      <c r="DV8" s="67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67"/>
      <c r="ER8" s="67"/>
      <c r="ES8" s="67"/>
      <c r="ET8" s="67"/>
      <c r="EU8" s="67"/>
      <c r="EV8" s="67"/>
      <c r="EW8" s="67"/>
      <c r="EX8" s="67"/>
      <c r="EY8" s="68"/>
      <c r="EZ8" s="66"/>
      <c r="FA8" s="67"/>
      <c r="FB8" s="67"/>
      <c r="FC8" s="67"/>
      <c r="FD8" s="67"/>
      <c r="FE8" s="67"/>
      <c r="FF8" s="67"/>
      <c r="FG8" s="67"/>
      <c r="FH8" s="67"/>
      <c r="FI8" s="67"/>
      <c r="FJ8" s="67"/>
      <c r="FK8" s="67"/>
      <c r="FL8" s="67"/>
      <c r="FM8" s="67"/>
      <c r="FN8" s="67"/>
      <c r="FO8" s="67"/>
      <c r="FP8" s="67"/>
      <c r="FQ8" s="67"/>
      <c r="FR8" s="67"/>
      <c r="FS8" s="67"/>
      <c r="FT8" s="67"/>
      <c r="FU8" s="67"/>
      <c r="FV8" s="67"/>
      <c r="FW8" s="67"/>
      <c r="FX8" s="67"/>
      <c r="FY8" s="67"/>
      <c r="FZ8" s="67"/>
      <c r="GA8" s="67"/>
      <c r="GB8" s="67"/>
      <c r="GC8" s="68"/>
      <c r="GD8" s="66"/>
      <c r="GE8" s="67"/>
      <c r="GF8" s="67"/>
      <c r="GG8" s="67"/>
      <c r="GH8" s="67"/>
      <c r="GI8" s="67"/>
      <c r="GJ8" s="67"/>
      <c r="GK8" s="67"/>
      <c r="GL8" s="67"/>
      <c r="GM8" s="67"/>
      <c r="GN8" s="67"/>
      <c r="GO8" s="67"/>
      <c r="GP8" s="67"/>
      <c r="GQ8" s="67"/>
      <c r="GR8" s="67"/>
      <c r="GS8" s="67"/>
      <c r="GT8" s="67"/>
      <c r="GU8" s="67"/>
      <c r="GV8" s="67"/>
      <c r="GW8" s="67"/>
      <c r="GX8" s="67"/>
      <c r="GY8" s="67"/>
      <c r="GZ8" s="67"/>
      <c r="HA8" s="67"/>
      <c r="HB8" s="67"/>
      <c r="HC8" s="67"/>
      <c r="HD8" s="67"/>
      <c r="HE8" s="67"/>
      <c r="HF8" s="67"/>
      <c r="HG8" s="67"/>
      <c r="HH8" s="68"/>
      <c r="HI8" s="66"/>
      <c r="HJ8" s="67"/>
      <c r="HK8" s="67"/>
      <c r="HL8" s="67"/>
      <c r="HM8" s="67"/>
      <c r="HN8" s="67"/>
      <c r="HO8" s="67"/>
      <c r="HP8" s="67"/>
      <c r="HQ8" s="67"/>
      <c r="HR8" s="67"/>
      <c r="HS8" s="67"/>
      <c r="HT8" s="67"/>
      <c r="HU8" s="67"/>
      <c r="HV8" s="67"/>
      <c r="HW8" s="67"/>
      <c r="HX8" s="67"/>
      <c r="HY8" s="67"/>
      <c r="HZ8" s="67"/>
      <c r="IA8" s="67"/>
      <c r="IB8" s="67"/>
      <c r="IC8" s="67"/>
      <c r="ID8" s="67"/>
      <c r="IE8" s="67"/>
      <c r="IF8" s="67"/>
      <c r="IG8" s="67"/>
      <c r="IH8" s="67"/>
      <c r="II8" s="67"/>
      <c r="IJ8" s="67"/>
      <c r="IK8" s="67"/>
      <c r="IL8" s="67"/>
      <c r="IM8" s="68"/>
      <c r="IN8" s="66"/>
      <c r="IO8" s="67"/>
      <c r="IP8" s="67"/>
      <c r="IQ8" s="67"/>
      <c r="IR8" s="67"/>
      <c r="IS8" s="67"/>
      <c r="IT8" s="67"/>
      <c r="IU8" s="67"/>
      <c r="IV8" s="67"/>
      <c r="IW8" s="67"/>
      <c r="IX8" s="67"/>
      <c r="IY8" s="67"/>
      <c r="IZ8" s="67"/>
      <c r="JA8" s="67"/>
      <c r="JB8" s="67"/>
      <c r="JC8" s="67"/>
      <c r="JD8" s="67"/>
      <c r="JE8" s="67"/>
      <c r="JF8" s="67"/>
      <c r="JG8" s="67"/>
      <c r="JH8" s="67"/>
      <c r="JI8" s="67"/>
      <c r="JJ8" s="67"/>
      <c r="JK8" s="67"/>
      <c r="JL8" s="67"/>
      <c r="JM8" s="67"/>
      <c r="JN8" s="67"/>
      <c r="JO8" s="67"/>
      <c r="JP8" s="67"/>
      <c r="JQ8" s="68"/>
      <c r="JR8" s="66"/>
      <c r="JS8" s="67"/>
      <c r="JT8" s="67"/>
      <c r="JU8" s="67"/>
      <c r="JV8" s="67"/>
      <c r="JW8" s="67"/>
      <c r="JX8" s="67"/>
      <c r="JY8" s="67"/>
      <c r="JZ8" s="67"/>
      <c r="KA8" s="67"/>
      <c r="KB8" s="67"/>
      <c r="KC8" s="67"/>
      <c r="KD8" s="67"/>
      <c r="KE8" s="67"/>
      <c r="KF8" s="67"/>
      <c r="KG8" s="67"/>
      <c r="KH8" s="67"/>
      <c r="KI8" s="67"/>
      <c r="KJ8" s="67"/>
      <c r="KK8" s="67"/>
      <c r="KL8" s="67"/>
      <c r="KM8" s="67"/>
      <c r="KN8" s="67"/>
      <c r="KO8" s="67"/>
      <c r="KP8" s="67"/>
      <c r="KQ8" s="67"/>
      <c r="KR8" s="67"/>
      <c r="KS8" s="67"/>
      <c r="KT8" s="67"/>
      <c r="KU8" s="67"/>
      <c r="KV8" s="68"/>
      <c r="KW8" s="66"/>
      <c r="KX8" s="67"/>
      <c r="KY8" s="67"/>
      <c r="KZ8" s="67"/>
      <c r="LA8" s="67"/>
      <c r="LB8" s="67"/>
      <c r="LC8" s="67"/>
      <c r="LD8" s="67"/>
      <c r="LE8" s="67"/>
      <c r="LF8" s="67"/>
      <c r="LG8" s="67"/>
      <c r="LH8" s="67"/>
      <c r="LI8" s="67"/>
      <c r="LJ8" s="67"/>
      <c r="LK8" s="67"/>
      <c r="LL8" s="67"/>
      <c r="LM8" s="67"/>
      <c r="LN8" s="67"/>
      <c r="LO8" s="67"/>
      <c r="LP8" s="67"/>
      <c r="LQ8" s="67"/>
      <c r="LR8" s="67"/>
      <c r="LS8" s="67"/>
      <c r="LT8" s="67"/>
      <c r="LU8" s="67"/>
      <c r="LV8" s="67"/>
      <c r="LW8" s="67"/>
      <c r="LX8" s="67"/>
      <c r="LY8" s="67"/>
      <c r="LZ8" s="68"/>
      <c r="MA8" s="66"/>
      <c r="MB8" s="67"/>
      <c r="MC8" s="67"/>
      <c r="MD8" s="67"/>
      <c r="ME8" s="67"/>
      <c r="MF8" s="67"/>
      <c r="MG8" s="67"/>
      <c r="MH8" s="67"/>
      <c r="MI8" s="67"/>
      <c r="MJ8" s="67"/>
      <c r="MK8" s="67"/>
      <c r="ML8" s="67"/>
      <c r="MM8" s="67"/>
      <c r="MN8" s="67"/>
      <c r="MO8" s="67"/>
      <c r="MP8" s="67"/>
      <c r="MQ8" s="67"/>
      <c r="MR8" s="67"/>
      <c r="MS8" s="67"/>
      <c r="MT8" s="67"/>
      <c r="MU8" s="67"/>
      <c r="MV8" s="67"/>
      <c r="MW8" s="67"/>
      <c r="MX8" s="67"/>
      <c r="MY8" s="67"/>
      <c r="MZ8" s="67"/>
      <c r="NA8" s="67"/>
      <c r="NB8" s="67"/>
      <c r="NC8" s="67"/>
      <c r="ND8" s="67"/>
      <c r="NE8" s="68"/>
    </row>
    <row r="9" spans="1:369" x14ac:dyDescent="0.25">
      <c r="A9" s="63"/>
      <c r="B9" s="64"/>
      <c r="C9" s="65"/>
      <c r="D9" s="65"/>
      <c r="E9" s="66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8"/>
      <c r="AJ9" s="66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8"/>
      <c r="BL9" s="66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  <c r="CI9" s="67"/>
      <c r="CJ9" s="67"/>
      <c r="CK9" s="67"/>
      <c r="CL9" s="67"/>
      <c r="CM9" s="67"/>
      <c r="CN9" s="67"/>
      <c r="CO9" s="67"/>
      <c r="CP9" s="68"/>
      <c r="CQ9" s="66"/>
      <c r="CR9" s="67"/>
      <c r="CS9" s="67"/>
      <c r="CT9" s="67"/>
      <c r="CU9" s="67"/>
      <c r="CV9" s="67"/>
      <c r="CW9" s="67"/>
      <c r="CX9" s="67"/>
      <c r="CY9" s="67"/>
      <c r="CZ9" s="67"/>
      <c r="DA9" s="67"/>
      <c r="DB9" s="67"/>
      <c r="DC9" s="67"/>
      <c r="DD9" s="67"/>
      <c r="DE9" s="67"/>
      <c r="DF9" s="67"/>
      <c r="DG9" s="67"/>
      <c r="DH9" s="67"/>
      <c r="DI9" s="67"/>
      <c r="DJ9" s="67"/>
      <c r="DK9" s="67"/>
      <c r="DL9" s="67"/>
      <c r="DM9" s="67"/>
      <c r="DN9" s="67"/>
      <c r="DO9" s="67"/>
      <c r="DP9" s="67"/>
      <c r="DQ9" s="67"/>
      <c r="DR9" s="67"/>
      <c r="DS9" s="67"/>
      <c r="DT9" s="68"/>
      <c r="DU9" s="66"/>
      <c r="DV9" s="67"/>
      <c r="DW9" s="67"/>
      <c r="DX9" s="67"/>
      <c r="DY9" s="67"/>
      <c r="DZ9" s="67"/>
      <c r="EA9" s="67"/>
      <c r="EB9" s="67"/>
      <c r="EC9" s="67"/>
      <c r="ED9" s="67"/>
      <c r="EE9" s="67"/>
      <c r="EF9" s="67"/>
      <c r="EG9" s="67"/>
      <c r="EH9" s="67"/>
      <c r="EI9" s="67"/>
      <c r="EJ9" s="67"/>
      <c r="EK9" s="67"/>
      <c r="EL9" s="67"/>
      <c r="EM9" s="67"/>
      <c r="EN9" s="67"/>
      <c r="EO9" s="67"/>
      <c r="EP9" s="67"/>
      <c r="EQ9" s="67"/>
      <c r="ER9" s="67"/>
      <c r="ES9" s="67"/>
      <c r="ET9" s="67"/>
      <c r="EU9" s="67"/>
      <c r="EV9" s="67"/>
      <c r="EW9" s="67"/>
      <c r="EX9" s="67"/>
      <c r="EY9" s="68"/>
      <c r="EZ9" s="66"/>
      <c r="FA9" s="67"/>
      <c r="FB9" s="67"/>
      <c r="FC9" s="67"/>
      <c r="FD9" s="67"/>
      <c r="FE9" s="67"/>
      <c r="FF9" s="67"/>
      <c r="FG9" s="67"/>
      <c r="FH9" s="67"/>
      <c r="FI9" s="67"/>
      <c r="FJ9" s="67"/>
      <c r="FK9" s="67"/>
      <c r="FL9" s="67"/>
      <c r="FM9" s="67"/>
      <c r="FN9" s="67"/>
      <c r="FO9" s="67"/>
      <c r="FP9" s="67"/>
      <c r="FQ9" s="67"/>
      <c r="FR9" s="67"/>
      <c r="FS9" s="67"/>
      <c r="FT9" s="67"/>
      <c r="FU9" s="67"/>
      <c r="FV9" s="67"/>
      <c r="FW9" s="67"/>
      <c r="FX9" s="67"/>
      <c r="FY9" s="67"/>
      <c r="FZ9" s="67"/>
      <c r="GA9" s="67"/>
      <c r="GB9" s="67"/>
      <c r="GC9" s="68"/>
      <c r="GD9" s="66"/>
      <c r="GE9" s="67"/>
      <c r="GF9" s="67"/>
      <c r="GG9" s="67"/>
      <c r="GH9" s="67"/>
      <c r="GI9" s="67"/>
      <c r="GJ9" s="67"/>
      <c r="GK9" s="67"/>
      <c r="GL9" s="67"/>
      <c r="GM9" s="67"/>
      <c r="GN9" s="67"/>
      <c r="GO9" s="67"/>
      <c r="GP9" s="67"/>
      <c r="GQ9" s="67"/>
      <c r="GR9" s="67"/>
      <c r="GS9" s="67"/>
      <c r="GT9" s="67"/>
      <c r="GU9" s="67"/>
      <c r="GV9" s="67"/>
      <c r="GW9" s="67"/>
      <c r="GX9" s="67"/>
      <c r="GY9" s="67"/>
      <c r="GZ9" s="67"/>
      <c r="HA9" s="67"/>
      <c r="HB9" s="67"/>
      <c r="HC9" s="67"/>
      <c r="HD9" s="67"/>
      <c r="HE9" s="67"/>
      <c r="HF9" s="67"/>
      <c r="HG9" s="67"/>
      <c r="HH9" s="68"/>
      <c r="HI9" s="66"/>
      <c r="HJ9" s="67"/>
      <c r="HK9" s="67"/>
      <c r="HL9" s="67"/>
      <c r="HM9" s="67"/>
      <c r="HN9" s="67"/>
      <c r="HO9" s="67"/>
      <c r="HP9" s="67"/>
      <c r="HQ9" s="67"/>
      <c r="HR9" s="67"/>
      <c r="HS9" s="67"/>
      <c r="HT9" s="67"/>
      <c r="HU9" s="67"/>
      <c r="HV9" s="67"/>
      <c r="HW9" s="67"/>
      <c r="HX9" s="67"/>
      <c r="HY9" s="67"/>
      <c r="HZ9" s="67"/>
      <c r="IA9" s="67"/>
      <c r="IB9" s="67"/>
      <c r="IC9" s="67"/>
      <c r="ID9" s="67"/>
      <c r="IE9" s="67"/>
      <c r="IF9" s="67"/>
      <c r="IG9" s="67"/>
      <c r="IH9" s="67"/>
      <c r="II9" s="67"/>
      <c r="IJ9" s="67"/>
      <c r="IK9" s="67"/>
      <c r="IL9" s="67"/>
      <c r="IM9" s="68"/>
      <c r="IN9" s="66"/>
      <c r="IO9" s="67"/>
      <c r="IP9" s="67"/>
      <c r="IQ9" s="67"/>
      <c r="IR9" s="67"/>
      <c r="IS9" s="67"/>
      <c r="IT9" s="67"/>
      <c r="IU9" s="67"/>
      <c r="IV9" s="67"/>
      <c r="IW9" s="67"/>
      <c r="IX9" s="67"/>
      <c r="IY9" s="67"/>
      <c r="IZ9" s="67"/>
      <c r="JA9" s="67"/>
      <c r="JB9" s="67"/>
      <c r="JC9" s="67"/>
      <c r="JD9" s="67"/>
      <c r="JE9" s="67"/>
      <c r="JF9" s="67"/>
      <c r="JG9" s="67"/>
      <c r="JH9" s="67"/>
      <c r="JI9" s="67"/>
      <c r="JJ9" s="67"/>
      <c r="JK9" s="67"/>
      <c r="JL9" s="67"/>
      <c r="JM9" s="67"/>
      <c r="JN9" s="67"/>
      <c r="JO9" s="67"/>
      <c r="JP9" s="67"/>
      <c r="JQ9" s="68"/>
      <c r="JR9" s="66"/>
      <c r="JS9" s="67"/>
      <c r="JT9" s="67"/>
      <c r="JU9" s="67"/>
      <c r="JV9" s="67"/>
      <c r="JW9" s="67"/>
      <c r="JX9" s="67"/>
      <c r="JY9" s="67"/>
      <c r="JZ9" s="67"/>
      <c r="KA9" s="67"/>
      <c r="KB9" s="67"/>
      <c r="KC9" s="67"/>
      <c r="KD9" s="67"/>
      <c r="KE9" s="67"/>
      <c r="KF9" s="67"/>
      <c r="KG9" s="67"/>
      <c r="KH9" s="67"/>
      <c r="KI9" s="67"/>
      <c r="KJ9" s="67"/>
      <c r="KK9" s="67"/>
      <c r="KL9" s="67"/>
      <c r="KM9" s="67"/>
      <c r="KN9" s="67"/>
      <c r="KO9" s="67"/>
      <c r="KP9" s="67"/>
      <c r="KQ9" s="67"/>
      <c r="KR9" s="67"/>
      <c r="KS9" s="67"/>
      <c r="KT9" s="67"/>
      <c r="KU9" s="67"/>
      <c r="KV9" s="68"/>
      <c r="KW9" s="66"/>
      <c r="KX9" s="67"/>
      <c r="KY9" s="67"/>
      <c r="KZ9" s="67"/>
      <c r="LA9" s="67"/>
      <c r="LB9" s="67"/>
      <c r="LC9" s="67"/>
      <c r="LD9" s="67"/>
      <c r="LE9" s="67"/>
      <c r="LF9" s="67"/>
      <c r="LG9" s="67"/>
      <c r="LH9" s="67"/>
      <c r="LI9" s="67"/>
      <c r="LJ9" s="67"/>
      <c r="LK9" s="67"/>
      <c r="LL9" s="67"/>
      <c r="LM9" s="67"/>
      <c r="LN9" s="67"/>
      <c r="LO9" s="67"/>
      <c r="LP9" s="67"/>
      <c r="LQ9" s="67"/>
      <c r="LR9" s="67"/>
      <c r="LS9" s="67"/>
      <c r="LT9" s="67"/>
      <c r="LU9" s="67"/>
      <c r="LV9" s="67"/>
      <c r="LW9" s="67"/>
      <c r="LX9" s="67"/>
      <c r="LY9" s="67"/>
      <c r="LZ9" s="68"/>
      <c r="MA9" s="66"/>
      <c r="MB9" s="67"/>
      <c r="MC9" s="67"/>
      <c r="MD9" s="67"/>
      <c r="ME9" s="67"/>
      <c r="MF9" s="67"/>
      <c r="MG9" s="67"/>
      <c r="MH9" s="67"/>
      <c r="MI9" s="67"/>
      <c r="MJ9" s="67"/>
      <c r="MK9" s="67"/>
      <c r="ML9" s="67"/>
      <c r="MM9" s="67"/>
      <c r="MN9" s="67"/>
      <c r="MO9" s="67"/>
      <c r="MP9" s="67"/>
      <c r="MQ9" s="67"/>
      <c r="MR9" s="67"/>
      <c r="MS9" s="67"/>
      <c r="MT9" s="67"/>
      <c r="MU9" s="67"/>
      <c r="MV9" s="67"/>
      <c r="MW9" s="67"/>
      <c r="MX9" s="67"/>
      <c r="MY9" s="67"/>
      <c r="MZ9" s="67"/>
      <c r="NA9" s="67"/>
      <c r="NB9" s="67"/>
      <c r="NC9" s="67"/>
      <c r="ND9" s="67"/>
      <c r="NE9" s="68"/>
    </row>
    <row r="10" spans="1:369" x14ac:dyDescent="0.25">
      <c r="A10" s="57"/>
      <c r="B10" s="64"/>
      <c r="C10" s="65"/>
      <c r="D10" s="65"/>
      <c r="E10" s="66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8"/>
      <c r="AJ10" s="66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8"/>
      <c r="BL10" s="66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8"/>
      <c r="CQ10" s="66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8"/>
      <c r="DU10" s="66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  <c r="EQ10" s="67"/>
      <c r="ER10" s="67"/>
      <c r="ES10" s="67"/>
      <c r="ET10" s="67"/>
      <c r="EU10" s="67"/>
      <c r="EV10" s="67"/>
      <c r="EW10" s="67"/>
      <c r="EX10" s="67"/>
      <c r="EY10" s="68"/>
      <c r="EZ10" s="66"/>
      <c r="FA10" s="67"/>
      <c r="FB10" s="67"/>
      <c r="FC10" s="67"/>
      <c r="FD10" s="67"/>
      <c r="FE10" s="67"/>
      <c r="FF10" s="67"/>
      <c r="FG10" s="67"/>
      <c r="FH10" s="67"/>
      <c r="FI10" s="67"/>
      <c r="FJ10" s="67"/>
      <c r="FK10" s="67"/>
      <c r="FL10" s="67"/>
      <c r="FM10" s="67"/>
      <c r="FN10" s="67"/>
      <c r="FO10" s="67"/>
      <c r="FP10" s="67"/>
      <c r="FQ10" s="67"/>
      <c r="FR10" s="67"/>
      <c r="FS10" s="67"/>
      <c r="FT10" s="67"/>
      <c r="FU10" s="67"/>
      <c r="FV10" s="67"/>
      <c r="FW10" s="67"/>
      <c r="FX10" s="67"/>
      <c r="FY10" s="67"/>
      <c r="FZ10" s="67"/>
      <c r="GA10" s="67"/>
      <c r="GB10" s="67"/>
      <c r="GC10" s="68"/>
      <c r="GD10" s="66"/>
      <c r="GE10" s="67"/>
      <c r="GF10" s="67"/>
      <c r="GG10" s="67"/>
      <c r="GH10" s="67"/>
      <c r="GI10" s="67"/>
      <c r="GJ10" s="67"/>
      <c r="GK10" s="67"/>
      <c r="GL10" s="67"/>
      <c r="GM10" s="67"/>
      <c r="GN10" s="67"/>
      <c r="GO10" s="67"/>
      <c r="GP10" s="67"/>
      <c r="GQ10" s="67"/>
      <c r="GR10" s="67"/>
      <c r="GS10" s="67"/>
      <c r="GT10" s="67"/>
      <c r="GU10" s="67"/>
      <c r="GV10" s="67"/>
      <c r="GW10" s="67"/>
      <c r="GX10" s="67"/>
      <c r="GY10" s="67"/>
      <c r="GZ10" s="67"/>
      <c r="HA10" s="67"/>
      <c r="HB10" s="67"/>
      <c r="HC10" s="67"/>
      <c r="HD10" s="67"/>
      <c r="HE10" s="67"/>
      <c r="HF10" s="67"/>
      <c r="HG10" s="67"/>
      <c r="HH10" s="68"/>
      <c r="HI10" s="66"/>
      <c r="HJ10" s="67"/>
      <c r="HK10" s="67"/>
      <c r="HL10" s="67"/>
      <c r="HM10" s="67"/>
      <c r="HN10" s="67"/>
      <c r="HO10" s="67"/>
      <c r="HP10" s="67"/>
      <c r="HQ10" s="67"/>
      <c r="HR10" s="67"/>
      <c r="HS10" s="67"/>
      <c r="HT10" s="67"/>
      <c r="HU10" s="67"/>
      <c r="HV10" s="67"/>
      <c r="HW10" s="67"/>
      <c r="HX10" s="67"/>
      <c r="HY10" s="67"/>
      <c r="HZ10" s="67"/>
      <c r="IA10" s="67"/>
      <c r="IB10" s="67"/>
      <c r="IC10" s="67"/>
      <c r="ID10" s="67"/>
      <c r="IE10" s="67"/>
      <c r="IF10" s="67"/>
      <c r="IG10" s="67"/>
      <c r="IH10" s="67"/>
      <c r="II10" s="67"/>
      <c r="IJ10" s="67"/>
      <c r="IK10" s="67"/>
      <c r="IL10" s="67"/>
      <c r="IM10" s="68"/>
      <c r="IN10" s="66"/>
      <c r="IO10" s="67"/>
      <c r="IP10" s="67"/>
      <c r="IQ10" s="67"/>
      <c r="IR10" s="67"/>
      <c r="IS10" s="67"/>
      <c r="IT10" s="67"/>
      <c r="IU10" s="67"/>
      <c r="IV10" s="67"/>
      <c r="IW10" s="67"/>
      <c r="IX10" s="67"/>
      <c r="IY10" s="67"/>
      <c r="IZ10" s="67"/>
      <c r="JA10" s="67"/>
      <c r="JB10" s="67"/>
      <c r="JC10" s="67"/>
      <c r="JD10" s="67"/>
      <c r="JE10" s="67"/>
      <c r="JF10" s="67"/>
      <c r="JG10" s="67"/>
      <c r="JH10" s="67"/>
      <c r="JI10" s="67"/>
      <c r="JJ10" s="67"/>
      <c r="JK10" s="67"/>
      <c r="JL10" s="67"/>
      <c r="JM10" s="67"/>
      <c r="JN10" s="67"/>
      <c r="JO10" s="67"/>
      <c r="JP10" s="67"/>
      <c r="JQ10" s="68"/>
      <c r="JR10" s="66"/>
      <c r="JS10" s="67"/>
      <c r="JT10" s="67"/>
      <c r="JU10" s="67"/>
      <c r="JV10" s="67"/>
      <c r="JW10" s="67"/>
      <c r="JX10" s="67"/>
      <c r="JY10" s="67"/>
      <c r="JZ10" s="67"/>
      <c r="KA10" s="67"/>
      <c r="KB10" s="67"/>
      <c r="KC10" s="67"/>
      <c r="KD10" s="67"/>
      <c r="KE10" s="67"/>
      <c r="KF10" s="67"/>
      <c r="KG10" s="67"/>
      <c r="KH10" s="67"/>
      <c r="KI10" s="67"/>
      <c r="KJ10" s="67"/>
      <c r="KK10" s="67"/>
      <c r="KL10" s="67"/>
      <c r="KM10" s="67"/>
      <c r="KN10" s="67"/>
      <c r="KO10" s="67"/>
      <c r="KP10" s="67"/>
      <c r="KQ10" s="67"/>
      <c r="KR10" s="67"/>
      <c r="KS10" s="67"/>
      <c r="KT10" s="67"/>
      <c r="KU10" s="67"/>
      <c r="KV10" s="68"/>
      <c r="KW10" s="66"/>
      <c r="KX10" s="67"/>
      <c r="KY10" s="67"/>
      <c r="KZ10" s="67"/>
      <c r="LA10" s="67"/>
      <c r="LB10" s="67"/>
      <c r="LC10" s="67"/>
      <c r="LD10" s="67"/>
      <c r="LE10" s="67"/>
      <c r="LF10" s="67"/>
      <c r="LG10" s="67"/>
      <c r="LH10" s="67"/>
      <c r="LI10" s="67"/>
      <c r="LJ10" s="67"/>
      <c r="LK10" s="67"/>
      <c r="LL10" s="67"/>
      <c r="LM10" s="67"/>
      <c r="LN10" s="67"/>
      <c r="LO10" s="67"/>
      <c r="LP10" s="67"/>
      <c r="LQ10" s="67"/>
      <c r="LR10" s="67"/>
      <c r="LS10" s="67"/>
      <c r="LT10" s="67"/>
      <c r="LU10" s="67"/>
      <c r="LV10" s="67"/>
      <c r="LW10" s="67"/>
      <c r="LX10" s="67"/>
      <c r="LY10" s="67"/>
      <c r="LZ10" s="68"/>
      <c r="MA10" s="66"/>
      <c r="MB10" s="67"/>
      <c r="MC10" s="67"/>
      <c r="MD10" s="67"/>
      <c r="ME10" s="67"/>
      <c r="MF10" s="67"/>
      <c r="MG10" s="67"/>
      <c r="MH10" s="67"/>
      <c r="MI10" s="67"/>
      <c r="MJ10" s="67"/>
      <c r="MK10" s="67"/>
      <c r="ML10" s="67"/>
      <c r="MM10" s="67"/>
      <c r="MN10" s="67"/>
      <c r="MO10" s="67"/>
      <c r="MP10" s="67"/>
      <c r="MQ10" s="67"/>
      <c r="MR10" s="67"/>
      <c r="MS10" s="67"/>
      <c r="MT10" s="67"/>
      <c r="MU10" s="67"/>
      <c r="MV10" s="67"/>
      <c r="MW10" s="67"/>
      <c r="MX10" s="67"/>
      <c r="MY10" s="67"/>
      <c r="MZ10" s="67"/>
      <c r="NA10" s="67"/>
      <c r="NB10" s="67"/>
      <c r="NC10" s="67"/>
      <c r="ND10" s="67"/>
      <c r="NE10" s="68"/>
    </row>
    <row r="11" spans="1:369" x14ac:dyDescent="0.25">
      <c r="A11" s="63"/>
      <c r="B11" s="64"/>
      <c r="C11" s="65"/>
      <c r="D11" s="65"/>
      <c r="E11" s="66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8"/>
      <c r="AJ11" s="66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8"/>
      <c r="BL11" s="66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7"/>
      <c r="CN11" s="67"/>
      <c r="CO11" s="67"/>
      <c r="CP11" s="68"/>
      <c r="CQ11" s="66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7"/>
      <c r="DG11" s="67"/>
      <c r="DH11" s="67"/>
      <c r="DI11" s="67"/>
      <c r="DJ11" s="67"/>
      <c r="DK11" s="67"/>
      <c r="DL11" s="67"/>
      <c r="DM11" s="67"/>
      <c r="DN11" s="67"/>
      <c r="DO11" s="67"/>
      <c r="DP11" s="67"/>
      <c r="DQ11" s="67"/>
      <c r="DR11" s="67"/>
      <c r="DS11" s="67"/>
      <c r="DT11" s="68"/>
      <c r="DU11" s="66"/>
      <c r="DV11" s="67"/>
      <c r="DW11" s="67"/>
      <c r="DX11" s="67"/>
      <c r="DY11" s="67"/>
      <c r="DZ11" s="67"/>
      <c r="EA11" s="67"/>
      <c r="EB11" s="67"/>
      <c r="EC11" s="67"/>
      <c r="ED11" s="67"/>
      <c r="EE11" s="67"/>
      <c r="EF11" s="67"/>
      <c r="EG11" s="67"/>
      <c r="EH11" s="67"/>
      <c r="EI11" s="67"/>
      <c r="EJ11" s="67"/>
      <c r="EK11" s="67"/>
      <c r="EL11" s="67"/>
      <c r="EM11" s="67"/>
      <c r="EN11" s="67"/>
      <c r="EO11" s="67"/>
      <c r="EP11" s="67"/>
      <c r="EQ11" s="67"/>
      <c r="ER11" s="67"/>
      <c r="ES11" s="67"/>
      <c r="ET11" s="67"/>
      <c r="EU11" s="67"/>
      <c r="EV11" s="67"/>
      <c r="EW11" s="67"/>
      <c r="EX11" s="67"/>
      <c r="EY11" s="68"/>
      <c r="EZ11" s="66"/>
      <c r="FA11" s="67"/>
      <c r="FB11" s="67"/>
      <c r="FC11" s="67"/>
      <c r="FD11" s="67"/>
      <c r="FE11" s="67"/>
      <c r="FF11" s="67"/>
      <c r="FG11" s="67"/>
      <c r="FH11" s="67"/>
      <c r="FI11" s="67"/>
      <c r="FJ11" s="67"/>
      <c r="FK11" s="67"/>
      <c r="FL11" s="67"/>
      <c r="FM11" s="67"/>
      <c r="FN11" s="67"/>
      <c r="FO11" s="67"/>
      <c r="FP11" s="67"/>
      <c r="FQ11" s="67"/>
      <c r="FR11" s="67"/>
      <c r="FS11" s="67"/>
      <c r="FT11" s="67"/>
      <c r="FU11" s="67"/>
      <c r="FV11" s="67"/>
      <c r="FW11" s="67"/>
      <c r="FX11" s="67"/>
      <c r="FY11" s="67"/>
      <c r="FZ11" s="67"/>
      <c r="GA11" s="67"/>
      <c r="GB11" s="67"/>
      <c r="GC11" s="68"/>
      <c r="GD11" s="66"/>
      <c r="GE11" s="67"/>
      <c r="GF11" s="67"/>
      <c r="GG11" s="67"/>
      <c r="GH11" s="67"/>
      <c r="GI11" s="67"/>
      <c r="GJ11" s="67"/>
      <c r="GK11" s="67"/>
      <c r="GL11" s="67"/>
      <c r="GM11" s="67"/>
      <c r="GN11" s="67"/>
      <c r="GO11" s="67"/>
      <c r="GP11" s="67"/>
      <c r="GQ11" s="67"/>
      <c r="GR11" s="67"/>
      <c r="GS11" s="67"/>
      <c r="GT11" s="67"/>
      <c r="GU11" s="67"/>
      <c r="GV11" s="67"/>
      <c r="GW11" s="67"/>
      <c r="GX11" s="67"/>
      <c r="GY11" s="67"/>
      <c r="GZ11" s="67"/>
      <c r="HA11" s="67"/>
      <c r="HB11" s="67"/>
      <c r="HC11" s="67"/>
      <c r="HD11" s="67"/>
      <c r="HE11" s="67"/>
      <c r="HF11" s="67"/>
      <c r="HG11" s="67"/>
      <c r="HH11" s="68"/>
      <c r="HI11" s="66"/>
      <c r="HJ11" s="67"/>
      <c r="HK11" s="67"/>
      <c r="HL11" s="67"/>
      <c r="HM11" s="67"/>
      <c r="HN11" s="67"/>
      <c r="HO11" s="67"/>
      <c r="HP11" s="67"/>
      <c r="HQ11" s="67"/>
      <c r="HR11" s="67"/>
      <c r="HS11" s="67"/>
      <c r="HT11" s="67"/>
      <c r="HU11" s="67"/>
      <c r="HV11" s="67"/>
      <c r="HW11" s="67"/>
      <c r="HX11" s="67"/>
      <c r="HY11" s="67"/>
      <c r="HZ11" s="67"/>
      <c r="IA11" s="67"/>
      <c r="IB11" s="67"/>
      <c r="IC11" s="67"/>
      <c r="ID11" s="67"/>
      <c r="IE11" s="67"/>
      <c r="IF11" s="67"/>
      <c r="IG11" s="67"/>
      <c r="IH11" s="67"/>
      <c r="II11" s="67"/>
      <c r="IJ11" s="67"/>
      <c r="IK11" s="67"/>
      <c r="IL11" s="67"/>
      <c r="IM11" s="68"/>
      <c r="IN11" s="66"/>
      <c r="IO11" s="67"/>
      <c r="IP11" s="67"/>
      <c r="IQ11" s="67"/>
      <c r="IR11" s="67"/>
      <c r="IS11" s="67"/>
      <c r="IT11" s="67"/>
      <c r="IU11" s="67"/>
      <c r="IV11" s="67"/>
      <c r="IW11" s="67"/>
      <c r="IX11" s="67"/>
      <c r="IY11" s="67"/>
      <c r="IZ11" s="67"/>
      <c r="JA11" s="67"/>
      <c r="JB11" s="67"/>
      <c r="JC11" s="67"/>
      <c r="JD11" s="67"/>
      <c r="JE11" s="67"/>
      <c r="JF11" s="67"/>
      <c r="JG11" s="67"/>
      <c r="JH11" s="67"/>
      <c r="JI11" s="67"/>
      <c r="JJ11" s="67"/>
      <c r="JK11" s="67"/>
      <c r="JL11" s="67"/>
      <c r="JM11" s="67"/>
      <c r="JN11" s="67"/>
      <c r="JO11" s="67"/>
      <c r="JP11" s="67"/>
      <c r="JQ11" s="68"/>
      <c r="JR11" s="66"/>
      <c r="JS11" s="67"/>
      <c r="JT11" s="67"/>
      <c r="JU11" s="67"/>
      <c r="JV11" s="67"/>
      <c r="JW11" s="67"/>
      <c r="JX11" s="67"/>
      <c r="JY11" s="67"/>
      <c r="JZ11" s="67"/>
      <c r="KA11" s="67"/>
      <c r="KB11" s="67"/>
      <c r="KC11" s="67"/>
      <c r="KD11" s="67"/>
      <c r="KE11" s="67"/>
      <c r="KF11" s="67"/>
      <c r="KG11" s="67"/>
      <c r="KH11" s="67"/>
      <c r="KI11" s="67"/>
      <c r="KJ11" s="67"/>
      <c r="KK11" s="67"/>
      <c r="KL11" s="67"/>
      <c r="KM11" s="67"/>
      <c r="KN11" s="67"/>
      <c r="KO11" s="67"/>
      <c r="KP11" s="67"/>
      <c r="KQ11" s="67"/>
      <c r="KR11" s="67"/>
      <c r="KS11" s="67"/>
      <c r="KT11" s="67"/>
      <c r="KU11" s="67"/>
      <c r="KV11" s="68"/>
      <c r="KW11" s="66"/>
      <c r="KX11" s="67"/>
      <c r="KY11" s="67"/>
      <c r="KZ11" s="67"/>
      <c r="LA11" s="67"/>
      <c r="LB11" s="67"/>
      <c r="LC11" s="67"/>
      <c r="LD11" s="67"/>
      <c r="LE11" s="67"/>
      <c r="LF11" s="67"/>
      <c r="LG11" s="67"/>
      <c r="LH11" s="67"/>
      <c r="LI11" s="67"/>
      <c r="LJ11" s="67"/>
      <c r="LK11" s="67"/>
      <c r="LL11" s="67"/>
      <c r="LM11" s="67"/>
      <c r="LN11" s="67"/>
      <c r="LO11" s="67"/>
      <c r="LP11" s="67"/>
      <c r="LQ11" s="67"/>
      <c r="LR11" s="67"/>
      <c r="LS11" s="67"/>
      <c r="LT11" s="67"/>
      <c r="LU11" s="67"/>
      <c r="LV11" s="67"/>
      <c r="LW11" s="67"/>
      <c r="LX11" s="67"/>
      <c r="LY11" s="67"/>
      <c r="LZ11" s="68"/>
      <c r="MA11" s="66"/>
      <c r="MB11" s="67"/>
      <c r="MC11" s="67"/>
      <c r="MD11" s="67"/>
      <c r="ME11" s="67"/>
      <c r="MF11" s="67"/>
      <c r="MG11" s="67"/>
      <c r="MH11" s="67"/>
      <c r="MI11" s="67"/>
      <c r="MJ11" s="67"/>
      <c r="MK11" s="67"/>
      <c r="ML11" s="67"/>
      <c r="MM11" s="67"/>
      <c r="MN11" s="67"/>
      <c r="MO11" s="67"/>
      <c r="MP11" s="67"/>
      <c r="MQ11" s="67"/>
      <c r="MR11" s="67"/>
      <c r="MS11" s="67"/>
      <c r="MT11" s="67"/>
      <c r="MU11" s="67"/>
      <c r="MV11" s="67"/>
      <c r="MW11" s="67"/>
      <c r="MX11" s="67"/>
      <c r="MY11" s="67"/>
      <c r="MZ11" s="67"/>
      <c r="NA11" s="67"/>
      <c r="NB11" s="67"/>
      <c r="NC11" s="67"/>
      <c r="ND11" s="67"/>
      <c r="NE11" s="68"/>
    </row>
    <row r="12" spans="1:369" x14ac:dyDescent="0.25">
      <c r="A12" s="57"/>
      <c r="B12" s="64"/>
      <c r="C12" s="65"/>
      <c r="D12" s="65"/>
      <c r="E12" s="66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8"/>
      <c r="AJ12" s="66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8"/>
      <c r="BL12" s="66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8"/>
      <c r="CQ12" s="66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  <c r="DN12" s="67"/>
      <c r="DO12" s="67"/>
      <c r="DP12" s="67"/>
      <c r="DQ12" s="67"/>
      <c r="DR12" s="67"/>
      <c r="DS12" s="67"/>
      <c r="DT12" s="68"/>
      <c r="DU12" s="66"/>
      <c r="DV12" s="67"/>
      <c r="DW12" s="67"/>
      <c r="DX12" s="67"/>
      <c r="DY12" s="67"/>
      <c r="DZ12" s="67"/>
      <c r="EA12" s="67"/>
      <c r="EB12" s="67"/>
      <c r="EC12" s="67"/>
      <c r="ED12" s="67"/>
      <c r="EE12" s="67"/>
      <c r="EF12" s="67"/>
      <c r="EG12" s="67"/>
      <c r="EH12" s="67"/>
      <c r="EI12" s="67"/>
      <c r="EJ12" s="67"/>
      <c r="EK12" s="67"/>
      <c r="EL12" s="67"/>
      <c r="EM12" s="67"/>
      <c r="EN12" s="67"/>
      <c r="EO12" s="67"/>
      <c r="EP12" s="67"/>
      <c r="EQ12" s="67"/>
      <c r="ER12" s="67"/>
      <c r="ES12" s="67"/>
      <c r="ET12" s="67"/>
      <c r="EU12" s="67"/>
      <c r="EV12" s="67"/>
      <c r="EW12" s="67"/>
      <c r="EX12" s="67"/>
      <c r="EY12" s="68"/>
      <c r="EZ12" s="66"/>
      <c r="FA12" s="67"/>
      <c r="FB12" s="67"/>
      <c r="FC12" s="67"/>
      <c r="FD12" s="67"/>
      <c r="FE12" s="67"/>
      <c r="FF12" s="67"/>
      <c r="FG12" s="67"/>
      <c r="FH12" s="67"/>
      <c r="FI12" s="67"/>
      <c r="FJ12" s="67"/>
      <c r="FK12" s="67"/>
      <c r="FL12" s="67"/>
      <c r="FM12" s="67"/>
      <c r="FN12" s="67"/>
      <c r="FO12" s="67"/>
      <c r="FP12" s="67"/>
      <c r="FQ12" s="67"/>
      <c r="FR12" s="67"/>
      <c r="FS12" s="67"/>
      <c r="FT12" s="67"/>
      <c r="FU12" s="67"/>
      <c r="FV12" s="67"/>
      <c r="FW12" s="67"/>
      <c r="FX12" s="67"/>
      <c r="FY12" s="67"/>
      <c r="FZ12" s="67"/>
      <c r="GA12" s="67"/>
      <c r="GB12" s="67"/>
      <c r="GC12" s="68"/>
      <c r="GD12" s="66"/>
      <c r="GE12" s="67"/>
      <c r="GF12" s="67"/>
      <c r="GG12" s="67"/>
      <c r="GH12" s="67"/>
      <c r="GI12" s="67"/>
      <c r="GJ12" s="67"/>
      <c r="GK12" s="67"/>
      <c r="GL12" s="67"/>
      <c r="GM12" s="67"/>
      <c r="GN12" s="67"/>
      <c r="GO12" s="67"/>
      <c r="GP12" s="67"/>
      <c r="GQ12" s="67"/>
      <c r="GR12" s="67"/>
      <c r="GS12" s="67"/>
      <c r="GT12" s="67"/>
      <c r="GU12" s="67"/>
      <c r="GV12" s="67"/>
      <c r="GW12" s="67"/>
      <c r="GX12" s="67"/>
      <c r="GY12" s="67"/>
      <c r="GZ12" s="67"/>
      <c r="HA12" s="67"/>
      <c r="HB12" s="67"/>
      <c r="HC12" s="67"/>
      <c r="HD12" s="67"/>
      <c r="HE12" s="67"/>
      <c r="HF12" s="67"/>
      <c r="HG12" s="67"/>
      <c r="HH12" s="68"/>
      <c r="HI12" s="66"/>
      <c r="HJ12" s="67"/>
      <c r="HK12" s="67"/>
      <c r="HL12" s="67"/>
      <c r="HM12" s="67"/>
      <c r="HN12" s="67"/>
      <c r="HO12" s="67"/>
      <c r="HP12" s="67"/>
      <c r="HQ12" s="67"/>
      <c r="HR12" s="67"/>
      <c r="HS12" s="67"/>
      <c r="HT12" s="67"/>
      <c r="HU12" s="67"/>
      <c r="HV12" s="67"/>
      <c r="HW12" s="67"/>
      <c r="HX12" s="67"/>
      <c r="HY12" s="67"/>
      <c r="HZ12" s="67"/>
      <c r="IA12" s="67"/>
      <c r="IB12" s="67"/>
      <c r="IC12" s="67"/>
      <c r="ID12" s="67"/>
      <c r="IE12" s="67"/>
      <c r="IF12" s="67"/>
      <c r="IG12" s="67"/>
      <c r="IH12" s="67"/>
      <c r="II12" s="67"/>
      <c r="IJ12" s="67"/>
      <c r="IK12" s="67"/>
      <c r="IL12" s="67"/>
      <c r="IM12" s="68"/>
      <c r="IN12" s="66"/>
      <c r="IO12" s="67"/>
      <c r="IP12" s="67"/>
      <c r="IQ12" s="67"/>
      <c r="IR12" s="67"/>
      <c r="IS12" s="67"/>
      <c r="IT12" s="67"/>
      <c r="IU12" s="67"/>
      <c r="IV12" s="67"/>
      <c r="IW12" s="67"/>
      <c r="IX12" s="67"/>
      <c r="IY12" s="67"/>
      <c r="IZ12" s="67"/>
      <c r="JA12" s="67"/>
      <c r="JB12" s="67"/>
      <c r="JC12" s="67"/>
      <c r="JD12" s="67"/>
      <c r="JE12" s="67"/>
      <c r="JF12" s="67"/>
      <c r="JG12" s="67"/>
      <c r="JH12" s="67"/>
      <c r="JI12" s="67"/>
      <c r="JJ12" s="67"/>
      <c r="JK12" s="67"/>
      <c r="JL12" s="67"/>
      <c r="JM12" s="67"/>
      <c r="JN12" s="67"/>
      <c r="JO12" s="67"/>
      <c r="JP12" s="67"/>
      <c r="JQ12" s="68"/>
      <c r="JR12" s="66"/>
      <c r="JS12" s="67"/>
      <c r="JT12" s="67"/>
      <c r="JU12" s="67"/>
      <c r="JV12" s="67"/>
      <c r="JW12" s="67"/>
      <c r="JX12" s="67"/>
      <c r="JY12" s="67"/>
      <c r="JZ12" s="67"/>
      <c r="KA12" s="67"/>
      <c r="KB12" s="67"/>
      <c r="KC12" s="67"/>
      <c r="KD12" s="67"/>
      <c r="KE12" s="67"/>
      <c r="KF12" s="67"/>
      <c r="KG12" s="67"/>
      <c r="KH12" s="67"/>
      <c r="KI12" s="67"/>
      <c r="KJ12" s="67"/>
      <c r="KK12" s="67"/>
      <c r="KL12" s="67"/>
      <c r="KM12" s="67"/>
      <c r="KN12" s="67"/>
      <c r="KO12" s="67"/>
      <c r="KP12" s="67"/>
      <c r="KQ12" s="67"/>
      <c r="KR12" s="67"/>
      <c r="KS12" s="67"/>
      <c r="KT12" s="67"/>
      <c r="KU12" s="67"/>
      <c r="KV12" s="68"/>
      <c r="KW12" s="66"/>
      <c r="KX12" s="67"/>
      <c r="KY12" s="67"/>
      <c r="KZ12" s="67"/>
      <c r="LA12" s="67"/>
      <c r="LB12" s="67"/>
      <c r="LC12" s="67"/>
      <c r="LD12" s="67"/>
      <c r="LE12" s="67"/>
      <c r="LF12" s="67"/>
      <c r="LG12" s="67"/>
      <c r="LH12" s="67"/>
      <c r="LI12" s="67"/>
      <c r="LJ12" s="67"/>
      <c r="LK12" s="67"/>
      <c r="LL12" s="67"/>
      <c r="LM12" s="67"/>
      <c r="LN12" s="67"/>
      <c r="LO12" s="67"/>
      <c r="LP12" s="67"/>
      <c r="LQ12" s="67"/>
      <c r="LR12" s="67"/>
      <c r="LS12" s="67"/>
      <c r="LT12" s="67"/>
      <c r="LU12" s="67"/>
      <c r="LV12" s="67"/>
      <c r="LW12" s="67"/>
      <c r="LX12" s="67"/>
      <c r="LY12" s="67"/>
      <c r="LZ12" s="68"/>
      <c r="MA12" s="66"/>
      <c r="MB12" s="67"/>
      <c r="MC12" s="67"/>
      <c r="MD12" s="67"/>
      <c r="ME12" s="67"/>
      <c r="MF12" s="67"/>
      <c r="MG12" s="67"/>
      <c r="MH12" s="67"/>
      <c r="MI12" s="67"/>
      <c r="MJ12" s="67"/>
      <c r="MK12" s="67"/>
      <c r="ML12" s="67"/>
      <c r="MM12" s="67"/>
      <c r="MN12" s="67"/>
      <c r="MO12" s="67"/>
      <c r="MP12" s="67"/>
      <c r="MQ12" s="67"/>
      <c r="MR12" s="67"/>
      <c r="MS12" s="67"/>
      <c r="MT12" s="67"/>
      <c r="MU12" s="67"/>
      <c r="MV12" s="67"/>
      <c r="MW12" s="67"/>
      <c r="MX12" s="67"/>
      <c r="MY12" s="67"/>
      <c r="MZ12" s="67"/>
      <c r="NA12" s="67"/>
      <c r="NB12" s="67"/>
      <c r="NC12" s="67"/>
      <c r="ND12" s="67"/>
      <c r="NE12" s="68"/>
    </row>
    <row r="13" spans="1:369" x14ac:dyDescent="0.25">
      <c r="A13" s="63"/>
      <c r="B13" s="64"/>
      <c r="C13" s="65"/>
      <c r="D13" s="65"/>
      <c r="E13" s="66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8"/>
      <c r="AJ13" s="66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8"/>
      <c r="BL13" s="66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  <c r="CA13" s="67"/>
      <c r="CB13" s="67"/>
      <c r="CC13" s="67"/>
      <c r="CD13" s="67"/>
      <c r="CE13" s="67"/>
      <c r="CF13" s="67"/>
      <c r="CG13" s="67"/>
      <c r="CH13" s="67"/>
      <c r="CI13" s="67"/>
      <c r="CJ13" s="67"/>
      <c r="CK13" s="67"/>
      <c r="CL13" s="67"/>
      <c r="CM13" s="67"/>
      <c r="CN13" s="67"/>
      <c r="CO13" s="67"/>
      <c r="CP13" s="68"/>
      <c r="CQ13" s="66"/>
      <c r="CR13" s="67"/>
      <c r="CS13" s="67"/>
      <c r="CT13" s="67"/>
      <c r="CU13" s="67"/>
      <c r="CV13" s="67"/>
      <c r="CW13" s="67"/>
      <c r="CX13" s="67"/>
      <c r="CY13" s="67"/>
      <c r="CZ13" s="67"/>
      <c r="DA13" s="67"/>
      <c r="DB13" s="67"/>
      <c r="DC13" s="67"/>
      <c r="DD13" s="67"/>
      <c r="DE13" s="67"/>
      <c r="DF13" s="67"/>
      <c r="DG13" s="67"/>
      <c r="DH13" s="67"/>
      <c r="DI13" s="67"/>
      <c r="DJ13" s="67"/>
      <c r="DK13" s="67"/>
      <c r="DL13" s="67"/>
      <c r="DM13" s="67"/>
      <c r="DN13" s="67"/>
      <c r="DO13" s="67"/>
      <c r="DP13" s="67"/>
      <c r="DQ13" s="67"/>
      <c r="DR13" s="67"/>
      <c r="DS13" s="67"/>
      <c r="DT13" s="68"/>
      <c r="DU13" s="66"/>
      <c r="DV13" s="67"/>
      <c r="DW13" s="67"/>
      <c r="DX13" s="67"/>
      <c r="DY13" s="67"/>
      <c r="DZ13" s="67"/>
      <c r="EA13" s="67"/>
      <c r="EB13" s="67"/>
      <c r="EC13" s="67"/>
      <c r="ED13" s="67"/>
      <c r="EE13" s="67"/>
      <c r="EF13" s="67"/>
      <c r="EG13" s="67"/>
      <c r="EH13" s="67"/>
      <c r="EI13" s="67"/>
      <c r="EJ13" s="67"/>
      <c r="EK13" s="67"/>
      <c r="EL13" s="67"/>
      <c r="EM13" s="67"/>
      <c r="EN13" s="67"/>
      <c r="EO13" s="67"/>
      <c r="EP13" s="67"/>
      <c r="EQ13" s="67"/>
      <c r="ER13" s="67"/>
      <c r="ES13" s="67"/>
      <c r="ET13" s="67"/>
      <c r="EU13" s="67"/>
      <c r="EV13" s="67"/>
      <c r="EW13" s="67"/>
      <c r="EX13" s="67"/>
      <c r="EY13" s="68"/>
      <c r="EZ13" s="66"/>
      <c r="FA13" s="67"/>
      <c r="FB13" s="67"/>
      <c r="FC13" s="67"/>
      <c r="FD13" s="67"/>
      <c r="FE13" s="67"/>
      <c r="FF13" s="67"/>
      <c r="FG13" s="67"/>
      <c r="FH13" s="67"/>
      <c r="FI13" s="67"/>
      <c r="FJ13" s="67"/>
      <c r="FK13" s="67"/>
      <c r="FL13" s="67"/>
      <c r="FM13" s="67"/>
      <c r="FN13" s="67"/>
      <c r="FO13" s="67"/>
      <c r="FP13" s="67"/>
      <c r="FQ13" s="67"/>
      <c r="FR13" s="67"/>
      <c r="FS13" s="67"/>
      <c r="FT13" s="67"/>
      <c r="FU13" s="67"/>
      <c r="FV13" s="67"/>
      <c r="FW13" s="67"/>
      <c r="FX13" s="67"/>
      <c r="FY13" s="67"/>
      <c r="FZ13" s="67"/>
      <c r="GA13" s="67"/>
      <c r="GB13" s="67"/>
      <c r="GC13" s="68"/>
      <c r="GD13" s="66"/>
      <c r="GE13" s="67"/>
      <c r="GF13" s="67"/>
      <c r="GG13" s="67"/>
      <c r="GH13" s="67"/>
      <c r="GI13" s="67"/>
      <c r="GJ13" s="67"/>
      <c r="GK13" s="67"/>
      <c r="GL13" s="67"/>
      <c r="GM13" s="67"/>
      <c r="GN13" s="67"/>
      <c r="GO13" s="67"/>
      <c r="GP13" s="67"/>
      <c r="GQ13" s="67"/>
      <c r="GR13" s="67"/>
      <c r="GS13" s="67"/>
      <c r="GT13" s="67"/>
      <c r="GU13" s="67"/>
      <c r="GV13" s="67"/>
      <c r="GW13" s="67"/>
      <c r="GX13" s="67"/>
      <c r="GY13" s="67"/>
      <c r="GZ13" s="67"/>
      <c r="HA13" s="67"/>
      <c r="HB13" s="67"/>
      <c r="HC13" s="67"/>
      <c r="HD13" s="67"/>
      <c r="HE13" s="67"/>
      <c r="HF13" s="67"/>
      <c r="HG13" s="67"/>
      <c r="HH13" s="68"/>
      <c r="HI13" s="66"/>
      <c r="HJ13" s="67"/>
      <c r="HK13" s="67"/>
      <c r="HL13" s="67"/>
      <c r="HM13" s="67"/>
      <c r="HN13" s="67"/>
      <c r="HO13" s="67"/>
      <c r="HP13" s="67"/>
      <c r="HQ13" s="67"/>
      <c r="HR13" s="67"/>
      <c r="HS13" s="67"/>
      <c r="HT13" s="67"/>
      <c r="HU13" s="67"/>
      <c r="HV13" s="67"/>
      <c r="HW13" s="67"/>
      <c r="HX13" s="67"/>
      <c r="HY13" s="67"/>
      <c r="HZ13" s="67"/>
      <c r="IA13" s="67"/>
      <c r="IB13" s="67"/>
      <c r="IC13" s="67"/>
      <c r="ID13" s="67"/>
      <c r="IE13" s="67"/>
      <c r="IF13" s="67"/>
      <c r="IG13" s="67"/>
      <c r="IH13" s="67"/>
      <c r="II13" s="67"/>
      <c r="IJ13" s="67"/>
      <c r="IK13" s="67"/>
      <c r="IL13" s="67"/>
      <c r="IM13" s="68"/>
      <c r="IN13" s="66"/>
      <c r="IO13" s="67"/>
      <c r="IP13" s="67"/>
      <c r="IQ13" s="67"/>
      <c r="IR13" s="67"/>
      <c r="IS13" s="67"/>
      <c r="IT13" s="67"/>
      <c r="IU13" s="67"/>
      <c r="IV13" s="67"/>
      <c r="IW13" s="67"/>
      <c r="IX13" s="67"/>
      <c r="IY13" s="67"/>
      <c r="IZ13" s="67"/>
      <c r="JA13" s="67"/>
      <c r="JB13" s="67"/>
      <c r="JC13" s="67"/>
      <c r="JD13" s="67"/>
      <c r="JE13" s="67"/>
      <c r="JF13" s="67"/>
      <c r="JG13" s="67"/>
      <c r="JH13" s="67"/>
      <c r="JI13" s="67"/>
      <c r="JJ13" s="67"/>
      <c r="JK13" s="67"/>
      <c r="JL13" s="67"/>
      <c r="JM13" s="67"/>
      <c r="JN13" s="67"/>
      <c r="JO13" s="67"/>
      <c r="JP13" s="67"/>
      <c r="JQ13" s="68"/>
      <c r="JR13" s="66"/>
      <c r="JS13" s="67"/>
      <c r="JT13" s="67"/>
      <c r="JU13" s="67"/>
      <c r="JV13" s="67"/>
      <c r="JW13" s="67"/>
      <c r="JX13" s="67"/>
      <c r="JY13" s="67"/>
      <c r="JZ13" s="67"/>
      <c r="KA13" s="67"/>
      <c r="KB13" s="67"/>
      <c r="KC13" s="67"/>
      <c r="KD13" s="67"/>
      <c r="KE13" s="67"/>
      <c r="KF13" s="67"/>
      <c r="KG13" s="67"/>
      <c r="KH13" s="67"/>
      <c r="KI13" s="67"/>
      <c r="KJ13" s="67"/>
      <c r="KK13" s="67"/>
      <c r="KL13" s="67"/>
      <c r="KM13" s="67"/>
      <c r="KN13" s="67"/>
      <c r="KO13" s="67"/>
      <c r="KP13" s="67"/>
      <c r="KQ13" s="67"/>
      <c r="KR13" s="67"/>
      <c r="KS13" s="67"/>
      <c r="KT13" s="67"/>
      <c r="KU13" s="67"/>
      <c r="KV13" s="68"/>
      <c r="KW13" s="66"/>
      <c r="KX13" s="67"/>
      <c r="KY13" s="67"/>
      <c r="KZ13" s="67"/>
      <c r="LA13" s="67"/>
      <c r="LB13" s="67"/>
      <c r="LC13" s="67"/>
      <c r="LD13" s="67"/>
      <c r="LE13" s="67"/>
      <c r="LF13" s="67"/>
      <c r="LG13" s="67"/>
      <c r="LH13" s="67"/>
      <c r="LI13" s="67"/>
      <c r="LJ13" s="67"/>
      <c r="LK13" s="67"/>
      <c r="LL13" s="67"/>
      <c r="LM13" s="67"/>
      <c r="LN13" s="67"/>
      <c r="LO13" s="67"/>
      <c r="LP13" s="67"/>
      <c r="LQ13" s="67"/>
      <c r="LR13" s="67"/>
      <c r="LS13" s="67"/>
      <c r="LT13" s="67"/>
      <c r="LU13" s="67"/>
      <c r="LV13" s="67"/>
      <c r="LW13" s="67"/>
      <c r="LX13" s="67"/>
      <c r="LY13" s="67"/>
      <c r="LZ13" s="68"/>
      <c r="MA13" s="66"/>
      <c r="MB13" s="67"/>
      <c r="MC13" s="67"/>
      <c r="MD13" s="67"/>
      <c r="ME13" s="67"/>
      <c r="MF13" s="67"/>
      <c r="MG13" s="67"/>
      <c r="MH13" s="67"/>
      <c r="MI13" s="67"/>
      <c r="MJ13" s="67"/>
      <c r="MK13" s="67"/>
      <c r="ML13" s="67"/>
      <c r="MM13" s="67"/>
      <c r="MN13" s="67"/>
      <c r="MO13" s="67"/>
      <c r="MP13" s="67"/>
      <c r="MQ13" s="67"/>
      <c r="MR13" s="67"/>
      <c r="MS13" s="67"/>
      <c r="MT13" s="67"/>
      <c r="MU13" s="67"/>
      <c r="MV13" s="67"/>
      <c r="MW13" s="67"/>
      <c r="MX13" s="67"/>
      <c r="MY13" s="67"/>
      <c r="MZ13" s="67"/>
      <c r="NA13" s="67"/>
      <c r="NB13" s="67"/>
      <c r="NC13" s="67"/>
      <c r="ND13" s="67"/>
      <c r="NE13" s="68"/>
    </row>
    <row r="14" spans="1:369" x14ac:dyDescent="0.25">
      <c r="A14" s="57"/>
      <c r="B14" s="64"/>
      <c r="C14" s="65"/>
      <c r="D14" s="65"/>
      <c r="E14" s="66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8"/>
      <c r="AJ14" s="66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8"/>
      <c r="BL14" s="66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  <c r="CF14" s="67"/>
      <c r="CG14" s="67"/>
      <c r="CH14" s="67"/>
      <c r="CI14" s="67"/>
      <c r="CJ14" s="67"/>
      <c r="CK14" s="67"/>
      <c r="CL14" s="67"/>
      <c r="CM14" s="67"/>
      <c r="CN14" s="67"/>
      <c r="CO14" s="67"/>
      <c r="CP14" s="68"/>
      <c r="CQ14" s="66"/>
      <c r="CR14" s="67"/>
      <c r="CS14" s="67"/>
      <c r="CT14" s="67"/>
      <c r="CU14" s="67"/>
      <c r="CV14" s="67"/>
      <c r="CW14" s="67"/>
      <c r="CX14" s="67"/>
      <c r="CY14" s="67"/>
      <c r="CZ14" s="67"/>
      <c r="DA14" s="67"/>
      <c r="DB14" s="67"/>
      <c r="DC14" s="67"/>
      <c r="DD14" s="67"/>
      <c r="DE14" s="67"/>
      <c r="DF14" s="67"/>
      <c r="DG14" s="67"/>
      <c r="DH14" s="67"/>
      <c r="DI14" s="67"/>
      <c r="DJ14" s="67"/>
      <c r="DK14" s="67"/>
      <c r="DL14" s="67"/>
      <c r="DM14" s="67"/>
      <c r="DN14" s="67"/>
      <c r="DO14" s="67"/>
      <c r="DP14" s="67"/>
      <c r="DQ14" s="67"/>
      <c r="DR14" s="67"/>
      <c r="DS14" s="67"/>
      <c r="DT14" s="68"/>
      <c r="DU14" s="66"/>
      <c r="DV14" s="67"/>
      <c r="DW14" s="67"/>
      <c r="DX14" s="67"/>
      <c r="DY14" s="67"/>
      <c r="DZ14" s="67"/>
      <c r="EA14" s="67"/>
      <c r="EB14" s="67"/>
      <c r="EC14" s="67"/>
      <c r="ED14" s="67"/>
      <c r="EE14" s="67"/>
      <c r="EF14" s="67"/>
      <c r="EG14" s="67"/>
      <c r="EH14" s="67"/>
      <c r="EI14" s="67"/>
      <c r="EJ14" s="67"/>
      <c r="EK14" s="67"/>
      <c r="EL14" s="67"/>
      <c r="EM14" s="67"/>
      <c r="EN14" s="67"/>
      <c r="EO14" s="67"/>
      <c r="EP14" s="67"/>
      <c r="EQ14" s="67"/>
      <c r="ER14" s="67"/>
      <c r="ES14" s="67"/>
      <c r="ET14" s="67"/>
      <c r="EU14" s="67"/>
      <c r="EV14" s="67"/>
      <c r="EW14" s="67"/>
      <c r="EX14" s="67"/>
      <c r="EY14" s="68"/>
      <c r="EZ14" s="66"/>
      <c r="FA14" s="67"/>
      <c r="FB14" s="67"/>
      <c r="FC14" s="67"/>
      <c r="FD14" s="67"/>
      <c r="FE14" s="67"/>
      <c r="FF14" s="67"/>
      <c r="FG14" s="67"/>
      <c r="FH14" s="67"/>
      <c r="FI14" s="67"/>
      <c r="FJ14" s="67"/>
      <c r="FK14" s="67"/>
      <c r="FL14" s="67"/>
      <c r="FM14" s="67"/>
      <c r="FN14" s="67"/>
      <c r="FO14" s="67"/>
      <c r="FP14" s="67"/>
      <c r="FQ14" s="67"/>
      <c r="FR14" s="67"/>
      <c r="FS14" s="67"/>
      <c r="FT14" s="67"/>
      <c r="FU14" s="67"/>
      <c r="FV14" s="67"/>
      <c r="FW14" s="67"/>
      <c r="FX14" s="67"/>
      <c r="FY14" s="67"/>
      <c r="FZ14" s="67"/>
      <c r="GA14" s="67"/>
      <c r="GB14" s="67"/>
      <c r="GC14" s="68"/>
      <c r="GD14" s="66"/>
      <c r="GE14" s="67"/>
      <c r="GF14" s="67"/>
      <c r="GG14" s="67"/>
      <c r="GH14" s="67"/>
      <c r="GI14" s="67"/>
      <c r="GJ14" s="67"/>
      <c r="GK14" s="67"/>
      <c r="GL14" s="67"/>
      <c r="GM14" s="67"/>
      <c r="GN14" s="67"/>
      <c r="GO14" s="67"/>
      <c r="GP14" s="67"/>
      <c r="GQ14" s="67"/>
      <c r="GR14" s="67"/>
      <c r="GS14" s="67"/>
      <c r="GT14" s="67"/>
      <c r="GU14" s="67"/>
      <c r="GV14" s="67"/>
      <c r="GW14" s="67"/>
      <c r="GX14" s="67"/>
      <c r="GY14" s="67"/>
      <c r="GZ14" s="67"/>
      <c r="HA14" s="67"/>
      <c r="HB14" s="67"/>
      <c r="HC14" s="67"/>
      <c r="HD14" s="67"/>
      <c r="HE14" s="67"/>
      <c r="HF14" s="67"/>
      <c r="HG14" s="67"/>
      <c r="HH14" s="68"/>
      <c r="HI14" s="66"/>
      <c r="HJ14" s="67"/>
      <c r="HK14" s="67"/>
      <c r="HL14" s="67"/>
      <c r="HM14" s="67"/>
      <c r="HN14" s="67"/>
      <c r="HO14" s="67"/>
      <c r="HP14" s="67"/>
      <c r="HQ14" s="67"/>
      <c r="HR14" s="67"/>
      <c r="HS14" s="67"/>
      <c r="HT14" s="67"/>
      <c r="HU14" s="67"/>
      <c r="HV14" s="67"/>
      <c r="HW14" s="67"/>
      <c r="HX14" s="67"/>
      <c r="HY14" s="67"/>
      <c r="HZ14" s="67"/>
      <c r="IA14" s="67"/>
      <c r="IB14" s="67"/>
      <c r="IC14" s="67"/>
      <c r="ID14" s="67"/>
      <c r="IE14" s="67"/>
      <c r="IF14" s="67"/>
      <c r="IG14" s="67"/>
      <c r="IH14" s="67"/>
      <c r="II14" s="67"/>
      <c r="IJ14" s="67"/>
      <c r="IK14" s="67"/>
      <c r="IL14" s="67"/>
      <c r="IM14" s="68"/>
      <c r="IN14" s="66"/>
      <c r="IO14" s="67"/>
      <c r="IP14" s="67"/>
      <c r="IQ14" s="67"/>
      <c r="IR14" s="67"/>
      <c r="IS14" s="67"/>
      <c r="IT14" s="67"/>
      <c r="IU14" s="67"/>
      <c r="IV14" s="67"/>
      <c r="IW14" s="67"/>
      <c r="IX14" s="67"/>
      <c r="IY14" s="67"/>
      <c r="IZ14" s="67"/>
      <c r="JA14" s="67"/>
      <c r="JB14" s="67"/>
      <c r="JC14" s="67"/>
      <c r="JD14" s="67"/>
      <c r="JE14" s="67"/>
      <c r="JF14" s="67"/>
      <c r="JG14" s="67"/>
      <c r="JH14" s="67"/>
      <c r="JI14" s="67"/>
      <c r="JJ14" s="67"/>
      <c r="JK14" s="67"/>
      <c r="JL14" s="67"/>
      <c r="JM14" s="67"/>
      <c r="JN14" s="67"/>
      <c r="JO14" s="67"/>
      <c r="JP14" s="67"/>
      <c r="JQ14" s="68"/>
      <c r="JR14" s="66"/>
      <c r="JS14" s="67"/>
      <c r="JT14" s="67"/>
      <c r="JU14" s="67"/>
      <c r="JV14" s="67"/>
      <c r="JW14" s="67"/>
      <c r="JX14" s="67"/>
      <c r="JY14" s="67"/>
      <c r="JZ14" s="67"/>
      <c r="KA14" s="67"/>
      <c r="KB14" s="67"/>
      <c r="KC14" s="67"/>
      <c r="KD14" s="67"/>
      <c r="KE14" s="67"/>
      <c r="KF14" s="67"/>
      <c r="KG14" s="67"/>
      <c r="KH14" s="67"/>
      <c r="KI14" s="67"/>
      <c r="KJ14" s="67"/>
      <c r="KK14" s="67"/>
      <c r="KL14" s="67"/>
      <c r="KM14" s="67"/>
      <c r="KN14" s="67"/>
      <c r="KO14" s="67"/>
      <c r="KP14" s="67"/>
      <c r="KQ14" s="67"/>
      <c r="KR14" s="67"/>
      <c r="KS14" s="67"/>
      <c r="KT14" s="67"/>
      <c r="KU14" s="67"/>
      <c r="KV14" s="68"/>
      <c r="KW14" s="66"/>
      <c r="KX14" s="67"/>
      <c r="KY14" s="67"/>
      <c r="KZ14" s="67"/>
      <c r="LA14" s="67"/>
      <c r="LB14" s="67"/>
      <c r="LC14" s="67"/>
      <c r="LD14" s="67"/>
      <c r="LE14" s="67"/>
      <c r="LF14" s="67"/>
      <c r="LG14" s="67"/>
      <c r="LH14" s="67"/>
      <c r="LI14" s="67"/>
      <c r="LJ14" s="67"/>
      <c r="LK14" s="67"/>
      <c r="LL14" s="67"/>
      <c r="LM14" s="67"/>
      <c r="LN14" s="67"/>
      <c r="LO14" s="67"/>
      <c r="LP14" s="67"/>
      <c r="LQ14" s="67"/>
      <c r="LR14" s="67"/>
      <c r="LS14" s="67"/>
      <c r="LT14" s="67"/>
      <c r="LU14" s="67"/>
      <c r="LV14" s="67"/>
      <c r="LW14" s="67"/>
      <c r="LX14" s="67"/>
      <c r="LY14" s="67"/>
      <c r="LZ14" s="68"/>
      <c r="MA14" s="66"/>
      <c r="MB14" s="67"/>
      <c r="MC14" s="67"/>
      <c r="MD14" s="67"/>
      <c r="ME14" s="67"/>
      <c r="MF14" s="67"/>
      <c r="MG14" s="67"/>
      <c r="MH14" s="67"/>
      <c r="MI14" s="67"/>
      <c r="MJ14" s="67"/>
      <c r="MK14" s="67"/>
      <c r="ML14" s="67"/>
      <c r="MM14" s="67"/>
      <c r="MN14" s="67"/>
      <c r="MO14" s="67"/>
      <c r="MP14" s="67"/>
      <c r="MQ14" s="67"/>
      <c r="MR14" s="67"/>
      <c r="MS14" s="67"/>
      <c r="MT14" s="67"/>
      <c r="MU14" s="67"/>
      <c r="MV14" s="67"/>
      <c r="MW14" s="67"/>
      <c r="MX14" s="67"/>
      <c r="MY14" s="67"/>
      <c r="MZ14" s="67"/>
      <c r="NA14" s="67"/>
      <c r="NB14" s="67"/>
      <c r="NC14" s="67"/>
      <c r="ND14" s="67"/>
      <c r="NE14" s="68"/>
    </row>
    <row r="15" spans="1:369" x14ac:dyDescent="0.25">
      <c r="A15" s="63"/>
      <c r="B15" s="64"/>
      <c r="C15" s="65"/>
      <c r="D15" s="65"/>
      <c r="E15" s="66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8"/>
      <c r="AJ15" s="66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8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7"/>
      <c r="CA15" s="67"/>
      <c r="CB15" s="67"/>
      <c r="CC15" s="67"/>
      <c r="CD15" s="67"/>
      <c r="CE15" s="67"/>
      <c r="CF15" s="67"/>
      <c r="CG15" s="67"/>
      <c r="CH15" s="67"/>
      <c r="CI15" s="67"/>
      <c r="CJ15" s="67"/>
      <c r="CK15" s="67"/>
      <c r="CL15" s="67"/>
      <c r="CM15" s="67"/>
      <c r="CN15" s="67"/>
      <c r="CO15" s="67"/>
      <c r="CP15" s="68"/>
      <c r="CQ15" s="66"/>
      <c r="CR15" s="67"/>
      <c r="CS15" s="67"/>
      <c r="CT15" s="67"/>
      <c r="CU15" s="67"/>
      <c r="CV15" s="67"/>
      <c r="CW15" s="67"/>
      <c r="CX15" s="67"/>
      <c r="CY15" s="67"/>
      <c r="CZ15" s="67"/>
      <c r="DA15" s="67"/>
      <c r="DB15" s="67"/>
      <c r="DC15" s="67"/>
      <c r="DD15" s="67"/>
      <c r="DE15" s="67"/>
      <c r="DF15" s="67"/>
      <c r="DG15" s="67"/>
      <c r="DH15" s="67"/>
      <c r="DI15" s="67"/>
      <c r="DJ15" s="67"/>
      <c r="DK15" s="67"/>
      <c r="DL15" s="67"/>
      <c r="DM15" s="67"/>
      <c r="DN15" s="67"/>
      <c r="DO15" s="67"/>
      <c r="DP15" s="67"/>
      <c r="DQ15" s="67"/>
      <c r="DR15" s="67"/>
      <c r="DS15" s="67"/>
      <c r="DT15" s="68"/>
      <c r="DU15" s="66"/>
      <c r="DV15" s="67"/>
      <c r="DW15" s="67"/>
      <c r="DX15" s="67"/>
      <c r="DY15" s="67"/>
      <c r="DZ15" s="67"/>
      <c r="EA15" s="67"/>
      <c r="EB15" s="67"/>
      <c r="EC15" s="67"/>
      <c r="ED15" s="67"/>
      <c r="EE15" s="67"/>
      <c r="EF15" s="67"/>
      <c r="EG15" s="67"/>
      <c r="EH15" s="67"/>
      <c r="EI15" s="67"/>
      <c r="EJ15" s="67"/>
      <c r="EK15" s="67"/>
      <c r="EL15" s="67"/>
      <c r="EM15" s="67"/>
      <c r="EN15" s="67"/>
      <c r="EO15" s="67"/>
      <c r="EP15" s="67"/>
      <c r="EQ15" s="67"/>
      <c r="ER15" s="67"/>
      <c r="ES15" s="67"/>
      <c r="ET15" s="67"/>
      <c r="EU15" s="67"/>
      <c r="EV15" s="67"/>
      <c r="EW15" s="67"/>
      <c r="EX15" s="67"/>
      <c r="EY15" s="68"/>
      <c r="EZ15" s="66"/>
      <c r="FA15" s="67"/>
      <c r="FB15" s="67"/>
      <c r="FC15" s="67"/>
      <c r="FD15" s="67"/>
      <c r="FE15" s="67"/>
      <c r="FF15" s="67"/>
      <c r="FG15" s="67"/>
      <c r="FH15" s="67"/>
      <c r="FI15" s="67"/>
      <c r="FJ15" s="67"/>
      <c r="FK15" s="67"/>
      <c r="FL15" s="67"/>
      <c r="FM15" s="67"/>
      <c r="FN15" s="67"/>
      <c r="FO15" s="67"/>
      <c r="FP15" s="67"/>
      <c r="FQ15" s="67"/>
      <c r="FR15" s="67"/>
      <c r="FS15" s="67"/>
      <c r="FT15" s="67"/>
      <c r="FU15" s="67"/>
      <c r="FV15" s="67"/>
      <c r="FW15" s="67"/>
      <c r="FX15" s="67"/>
      <c r="FY15" s="67"/>
      <c r="FZ15" s="67"/>
      <c r="GA15" s="67"/>
      <c r="GB15" s="67"/>
      <c r="GC15" s="68"/>
      <c r="GD15" s="66"/>
      <c r="GE15" s="67"/>
      <c r="GF15" s="67"/>
      <c r="GG15" s="67"/>
      <c r="GH15" s="67"/>
      <c r="GI15" s="67"/>
      <c r="GJ15" s="67"/>
      <c r="GK15" s="67"/>
      <c r="GL15" s="67"/>
      <c r="GM15" s="67"/>
      <c r="GN15" s="67"/>
      <c r="GO15" s="67"/>
      <c r="GP15" s="67"/>
      <c r="GQ15" s="67"/>
      <c r="GR15" s="67"/>
      <c r="GS15" s="67"/>
      <c r="GT15" s="67"/>
      <c r="GU15" s="67"/>
      <c r="GV15" s="67"/>
      <c r="GW15" s="67"/>
      <c r="GX15" s="67"/>
      <c r="GY15" s="67"/>
      <c r="GZ15" s="67"/>
      <c r="HA15" s="67"/>
      <c r="HB15" s="67"/>
      <c r="HC15" s="67"/>
      <c r="HD15" s="67"/>
      <c r="HE15" s="67"/>
      <c r="HF15" s="67"/>
      <c r="HG15" s="67"/>
      <c r="HH15" s="68"/>
      <c r="HI15" s="66"/>
      <c r="HJ15" s="67"/>
      <c r="HK15" s="67"/>
      <c r="HL15" s="67"/>
      <c r="HM15" s="67"/>
      <c r="HN15" s="67"/>
      <c r="HO15" s="67"/>
      <c r="HP15" s="67"/>
      <c r="HQ15" s="67"/>
      <c r="HR15" s="67"/>
      <c r="HS15" s="67"/>
      <c r="HT15" s="67"/>
      <c r="HU15" s="67"/>
      <c r="HV15" s="67"/>
      <c r="HW15" s="67"/>
      <c r="HX15" s="67"/>
      <c r="HY15" s="67"/>
      <c r="HZ15" s="67"/>
      <c r="IA15" s="67"/>
      <c r="IB15" s="67"/>
      <c r="IC15" s="67"/>
      <c r="ID15" s="67"/>
      <c r="IE15" s="67"/>
      <c r="IF15" s="67"/>
      <c r="IG15" s="67"/>
      <c r="IH15" s="67"/>
      <c r="II15" s="67"/>
      <c r="IJ15" s="67"/>
      <c r="IK15" s="67"/>
      <c r="IL15" s="67"/>
      <c r="IM15" s="68"/>
      <c r="IN15" s="66"/>
      <c r="IO15" s="67"/>
      <c r="IP15" s="67"/>
      <c r="IQ15" s="67"/>
      <c r="IR15" s="67"/>
      <c r="IS15" s="67"/>
      <c r="IT15" s="67"/>
      <c r="IU15" s="67"/>
      <c r="IV15" s="67"/>
      <c r="IW15" s="67"/>
      <c r="IX15" s="67"/>
      <c r="IY15" s="67"/>
      <c r="IZ15" s="67"/>
      <c r="JA15" s="67"/>
      <c r="JB15" s="67"/>
      <c r="JC15" s="67"/>
      <c r="JD15" s="67"/>
      <c r="JE15" s="67"/>
      <c r="JF15" s="67"/>
      <c r="JG15" s="67"/>
      <c r="JH15" s="67"/>
      <c r="JI15" s="67"/>
      <c r="JJ15" s="67"/>
      <c r="JK15" s="67"/>
      <c r="JL15" s="67"/>
      <c r="JM15" s="67"/>
      <c r="JN15" s="67"/>
      <c r="JO15" s="67"/>
      <c r="JP15" s="67"/>
      <c r="JQ15" s="68"/>
      <c r="JR15" s="66"/>
      <c r="JS15" s="67"/>
      <c r="JT15" s="67"/>
      <c r="JU15" s="67"/>
      <c r="JV15" s="67"/>
      <c r="JW15" s="67"/>
      <c r="JX15" s="67"/>
      <c r="JY15" s="67"/>
      <c r="JZ15" s="67"/>
      <c r="KA15" s="67"/>
      <c r="KB15" s="67"/>
      <c r="KC15" s="67"/>
      <c r="KD15" s="67"/>
      <c r="KE15" s="67"/>
      <c r="KF15" s="67"/>
      <c r="KG15" s="67"/>
      <c r="KH15" s="67"/>
      <c r="KI15" s="67"/>
      <c r="KJ15" s="67"/>
      <c r="KK15" s="67"/>
      <c r="KL15" s="67"/>
      <c r="KM15" s="67"/>
      <c r="KN15" s="67"/>
      <c r="KO15" s="67"/>
      <c r="KP15" s="67"/>
      <c r="KQ15" s="67"/>
      <c r="KR15" s="67"/>
      <c r="KS15" s="67"/>
      <c r="KT15" s="67"/>
      <c r="KU15" s="67"/>
      <c r="KV15" s="68"/>
      <c r="KW15" s="66"/>
      <c r="KX15" s="67"/>
      <c r="KY15" s="67"/>
      <c r="KZ15" s="67"/>
      <c r="LA15" s="67"/>
      <c r="LB15" s="67"/>
      <c r="LC15" s="67"/>
      <c r="LD15" s="67"/>
      <c r="LE15" s="67"/>
      <c r="LF15" s="67"/>
      <c r="LG15" s="67"/>
      <c r="LH15" s="67"/>
      <c r="LI15" s="67"/>
      <c r="LJ15" s="67"/>
      <c r="LK15" s="67"/>
      <c r="LL15" s="67"/>
      <c r="LM15" s="67"/>
      <c r="LN15" s="67"/>
      <c r="LO15" s="67"/>
      <c r="LP15" s="67"/>
      <c r="LQ15" s="67"/>
      <c r="LR15" s="67"/>
      <c r="LS15" s="67"/>
      <c r="LT15" s="67"/>
      <c r="LU15" s="67"/>
      <c r="LV15" s="67"/>
      <c r="LW15" s="67"/>
      <c r="LX15" s="67"/>
      <c r="LY15" s="67"/>
      <c r="LZ15" s="68"/>
      <c r="MA15" s="66"/>
      <c r="MB15" s="67"/>
      <c r="MC15" s="67"/>
      <c r="MD15" s="67"/>
      <c r="ME15" s="67"/>
      <c r="MF15" s="67"/>
      <c r="MG15" s="67"/>
      <c r="MH15" s="67"/>
      <c r="MI15" s="67"/>
      <c r="MJ15" s="67"/>
      <c r="MK15" s="67"/>
      <c r="ML15" s="67"/>
      <c r="MM15" s="67"/>
      <c r="MN15" s="67"/>
      <c r="MO15" s="67"/>
      <c r="MP15" s="67"/>
      <c r="MQ15" s="67"/>
      <c r="MR15" s="67"/>
      <c r="MS15" s="67"/>
      <c r="MT15" s="67"/>
      <c r="MU15" s="67"/>
      <c r="MV15" s="67"/>
      <c r="MW15" s="67"/>
      <c r="MX15" s="67"/>
      <c r="MY15" s="67"/>
      <c r="MZ15" s="67"/>
      <c r="NA15" s="67"/>
      <c r="NB15" s="67"/>
      <c r="NC15" s="67"/>
      <c r="ND15" s="67"/>
      <c r="NE15" s="68"/>
    </row>
    <row r="16" spans="1:369" x14ac:dyDescent="0.25">
      <c r="A16" s="57"/>
      <c r="B16" s="64"/>
      <c r="C16" s="65"/>
      <c r="D16" s="65"/>
      <c r="E16" s="66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8"/>
      <c r="AJ16" s="66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8"/>
      <c r="BL16" s="66"/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  <c r="CA16" s="67"/>
      <c r="CB16" s="67"/>
      <c r="CC16" s="67"/>
      <c r="CD16" s="67"/>
      <c r="CE16" s="67"/>
      <c r="CF16" s="67"/>
      <c r="CG16" s="67"/>
      <c r="CH16" s="67"/>
      <c r="CI16" s="67"/>
      <c r="CJ16" s="67"/>
      <c r="CK16" s="67"/>
      <c r="CL16" s="67"/>
      <c r="CM16" s="67"/>
      <c r="CN16" s="67"/>
      <c r="CO16" s="67"/>
      <c r="CP16" s="68"/>
      <c r="CQ16" s="66"/>
      <c r="CR16" s="67"/>
      <c r="CS16" s="67"/>
      <c r="CT16" s="67"/>
      <c r="CU16" s="67"/>
      <c r="CV16" s="67"/>
      <c r="CW16" s="67"/>
      <c r="CX16" s="67"/>
      <c r="CY16" s="67"/>
      <c r="CZ16" s="67"/>
      <c r="DA16" s="67"/>
      <c r="DB16" s="67"/>
      <c r="DC16" s="67"/>
      <c r="DD16" s="67"/>
      <c r="DE16" s="67"/>
      <c r="DF16" s="67"/>
      <c r="DG16" s="67"/>
      <c r="DH16" s="67"/>
      <c r="DI16" s="67"/>
      <c r="DJ16" s="67"/>
      <c r="DK16" s="67"/>
      <c r="DL16" s="67"/>
      <c r="DM16" s="67"/>
      <c r="DN16" s="67"/>
      <c r="DO16" s="67"/>
      <c r="DP16" s="67"/>
      <c r="DQ16" s="67"/>
      <c r="DR16" s="67"/>
      <c r="DS16" s="67"/>
      <c r="DT16" s="68"/>
      <c r="DU16" s="66"/>
      <c r="DV16" s="67"/>
      <c r="DW16" s="67"/>
      <c r="DX16" s="67"/>
      <c r="DY16" s="67"/>
      <c r="DZ16" s="67"/>
      <c r="EA16" s="67"/>
      <c r="EB16" s="67"/>
      <c r="EC16" s="67"/>
      <c r="ED16" s="67"/>
      <c r="EE16" s="67"/>
      <c r="EF16" s="67"/>
      <c r="EG16" s="67"/>
      <c r="EH16" s="67"/>
      <c r="EI16" s="67"/>
      <c r="EJ16" s="67"/>
      <c r="EK16" s="67"/>
      <c r="EL16" s="67"/>
      <c r="EM16" s="67"/>
      <c r="EN16" s="67"/>
      <c r="EO16" s="67"/>
      <c r="EP16" s="67"/>
      <c r="EQ16" s="67"/>
      <c r="ER16" s="67"/>
      <c r="ES16" s="67"/>
      <c r="ET16" s="67"/>
      <c r="EU16" s="67"/>
      <c r="EV16" s="67"/>
      <c r="EW16" s="67"/>
      <c r="EX16" s="67"/>
      <c r="EY16" s="68"/>
      <c r="EZ16" s="66"/>
      <c r="FA16" s="67"/>
      <c r="FB16" s="67"/>
      <c r="FC16" s="67"/>
      <c r="FD16" s="67"/>
      <c r="FE16" s="67"/>
      <c r="FF16" s="67"/>
      <c r="FG16" s="67"/>
      <c r="FH16" s="67"/>
      <c r="FI16" s="67"/>
      <c r="FJ16" s="67"/>
      <c r="FK16" s="67"/>
      <c r="FL16" s="67"/>
      <c r="FM16" s="67"/>
      <c r="FN16" s="67"/>
      <c r="FO16" s="67"/>
      <c r="FP16" s="67"/>
      <c r="FQ16" s="67"/>
      <c r="FR16" s="67"/>
      <c r="FS16" s="67"/>
      <c r="FT16" s="67"/>
      <c r="FU16" s="67"/>
      <c r="FV16" s="67"/>
      <c r="FW16" s="67"/>
      <c r="FX16" s="67"/>
      <c r="FY16" s="67"/>
      <c r="FZ16" s="67"/>
      <c r="GA16" s="67"/>
      <c r="GB16" s="67"/>
      <c r="GC16" s="68"/>
      <c r="GD16" s="66"/>
      <c r="GE16" s="67"/>
      <c r="GF16" s="67"/>
      <c r="GG16" s="67"/>
      <c r="GH16" s="67"/>
      <c r="GI16" s="67"/>
      <c r="GJ16" s="67"/>
      <c r="GK16" s="67"/>
      <c r="GL16" s="67"/>
      <c r="GM16" s="67"/>
      <c r="GN16" s="67"/>
      <c r="GO16" s="67"/>
      <c r="GP16" s="67"/>
      <c r="GQ16" s="67"/>
      <c r="GR16" s="67"/>
      <c r="GS16" s="67"/>
      <c r="GT16" s="67"/>
      <c r="GU16" s="67"/>
      <c r="GV16" s="67"/>
      <c r="GW16" s="67"/>
      <c r="GX16" s="67"/>
      <c r="GY16" s="67"/>
      <c r="GZ16" s="67"/>
      <c r="HA16" s="67"/>
      <c r="HB16" s="67"/>
      <c r="HC16" s="67"/>
      <c r="HD16" s="67"/>
      <c r="HE16" s="67"/>
      <c r="HF16" s="67"/>
      <c r="HG16" s="67"/>
      <c r="HH16" s="68"/>
      <c r="HI16" s="66"/>
      <c r="HJ16" s="67"/>
      <c r="HK16" s="67"/>
      <c r="HL16" s="67"/>
      <c r="HM16" s="67"/>
      <c r="HN16" s="67"/>
      <c r="HO16" s="67"/>
      <c r="HP16" s="67"/>
      <c r="HQ16" s="67"/>
      <c r="HR16" s="67"/>
      <c r="HS16" s="67"/>
      <c r="HT16" s="67"/>
      <c r="HU16" s="67"/>
      <c r="HV16" s="67"/>
      <c r="HW16" s="67"/>
      <c r="HX16" s="67"/>
      <c r="HY16" s="67"/>
      <c r="HZ16" s="67"/>
      <c r="IA16" s="67"/>
      <c r="IB16" s="67"/>
      <c r="IC16" s="67"/>
      <c r="ID16" s="67"/>
      <c r="IE16" s="67"/>
      <c r="IF16" s="67"/>
      <c r="IG16" s="67"/>
      <c r="IH16" s="67"/>
      <c r="II16" s="67"/>
      <c r="IJ16" s="67"/>
      <c r="IK16" s="67"/>
      <c r="IL16" s="67"/>
      <c r="IM16" s="68"/>
      <c r="IN16" s="66"/>
      <c r="IO16" s="67"/>
      <c r="IP16" s="67"/>
      <c r="IQ16" s="67"/>
      <c r="IR16" s="67"/>
      <c r="IS16" s="67"/>
      <c r="IT16" s="67"/>
      <c r="IU16" s="67"/>
      <c r="IV16" s="67"/>
      <c r="IW16" s="67"/>
      <c r="IX16" s="67"/>
      <c r="IY16" s="67"/>
      <c r="IZ16" s="67"/>
      <c r="JA16" s="67"/>
      <c r="JB16" s="67"/>
      <c r="JC16" s="67"/>
      <c r="JD16" s="67"/>
      <c r="JE16" s="67"/>
      <c r="JF16" s="67"/>
      <c r="JG16" s="67"/>
      <c r="JH16" s="67"/>
      <c r="JI16" s="67"/>
      <c r="JJ16" s="67"/>
      <c r="JK16" s="67"/>
      <c r="JL16" s="67"/>
      <c r="JM16" s="67"/>
      <c r="JN16" s="67"/>
      <c r="JO16" s="67"/>
      <c r="JP16" s="67"/>
      <c r="JQ16" s="68"/>
      <c r="JR16" s="66"/>
      <c r="JS16" s="67"/>
      <c r="JT16" s="67"/>
      <c r="JU16" s="67"/>
      <c r="JV16" s="67"/>
      <c r="JW16" s="67"/>
      <c r="JX16" s="67"/>
      <c r="JY16" s="67"/>
      <c r="JZ16" s="67"/>
      <c r="KA16" s="67"/>
      <c r="KB16" s="67"/>
      <c r="KC16" s="67"/>
      <c r="KD16" s="67"/>
      <c r="KE16" s="67"/>
      <c r="KF16" s="67"/>
      <c r="KG16" s="67"/>
      <c r="KH16" s="67"/>
      <c r="KI16" s="67"/>
      <c r="KJ16" s="67"/>
      <c r="KK16" s="67"/>
      <c r="KL16" s="67"/>
      <c r="KM16" s="67"/>
      <c r="KN16" s="67"/>
      <c r="KO16" s="67"/>
      <c r="KP16" s="67"/>
      <c r="KQ16" s="67"/>
      <c r="KR16" s="67"/>
      <c r="KS16" s="67"/>
      <c r="KT16" s="67"/>
      <c r="KU16" s="67"/>
      <c r="KV16" s="68"/>
      <c r="KW16" s="66"/>
      <c r="KX16" s="67"/>
      <c r="KY16" s="67"/>
      <c r="KZ16" s="67"/>
      <c r="LA16" s="67"/>
      <c r="LB16" s="67"/>
      <c r="LC16" s="67"/>
      <c r="LD16" s="67"/>
      <c r="LE16" s="67"/>
      <c r="LF16" s="67"/>
      <c r="LG16" s="67"/>
      <c r="LH16" s="67"/>
      <c r="LI16" s="67"/>
      <c r="LJ16" s="67"/>
      <c r="LK16" s="67"/>
      <c r="LL16" s="67"/>
      <c r="LM16" s="67"/>
      <c r="LN16" s="67"/>
      <c r="LO16" s="67"/>
      <c r="LP16" s="67"/>
      <c r="LQ16" s="67"/>
      <c r="LR16" s="67"/>
      <c r="LS16" s="67"/>
      <c r="LT16" s="67"/>
      <c r="LU16" s="67"/>
      <c r="LV16" s="67"/>
      <c r="LW16" s="67"/>
      <c r="LX16" s="67"/>
      <c r="LY16" s="67"/>
      <c r="LZ16" s="68"/>
      <c r="MA16" s="66"/>
      <c r="MB16" s="67"/>
      <c r="MC16" s="67"/>
      <c r="MD16" s="67"/>
      <c r="ME16" s="67"/>
      <c r="MF16" s="67"/>
      <c r="MG16" s="67"/>
      <c r="MH16" s="67"/>
      <c r="MI16" s="67"/>
      <c r="MJ16" s="67"/>
      <c r="MK16" s="67"/>
      <c r="ML16" s="67"/>
      <c r="MM16" s="67"/>
      <c r="MN16" s="67"/>
      <c r="MO16" s="67"/>
      <c r="MP16" s="67"/>
      <c r="MQ16" s="67"/>
      <c r="MR16" s="67"/>
      <c r="MS16" s="67"/>
      <c r="MT16" s="67"/>
      <c r="MU16" s="67"/>
      <c r="MV16" s="67"/>
      <c r="MW16" s="67"/>
      <c r="MX16" s="67"/>
      <c r="MY16" s="67"/>
      <c r="MZ16" s="67"/>
      <c r="NA16" s="67"/>
      <c r="NB16" s="67"/>
      <c r="NC16" s="67"/>
      <c r="ND16" s="67"/>
      <c r="NE16" s="68"/>
    </row>
    <row r="17" spans="1:369" x14ac:dyDescent="0.25">
      <c r="A17" s="63"/>
      <c r="B17" s="64"/>
      <c r="C17" s="65"/>
      <c r="D17" s="65"/>
      <c r="E17" s="66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8"/>
      <c r="AJ17" s="66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8"/>
      <c r="BL17" s="66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7"/>
      <c r="CA17" s="67"/>
      <c r="CB17" s="67"/>
      <c r="CC17" s="67"/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67"/>
      <c r="CP17" s="68"/>
      <c r="CQ17" s="66"/>
      <c r="CR17" s="67"/>
      <c r="CS17" s="67"/>
      <c r="CT17" s="67"/>
      <c r="CU17" s="67"/>
      <c r="CV17" s="67"/>
      <c r="CW17" s="67"/>
      <c r="CX17" s="67"/>
      <c r="CY17" s="67"/>
      <c r="CZ17" s="67"/>
      <c r="DA17" s="67"/>
      <c r="DB17" s="67"/>
      <c r="DC17" s="67"/>
      <c r="DD17" s="67"/>
      <c r="DE17" s="67"/>
      <c r="DF17" s="67"/>
      <c r="DG17" s="67"/>
      <c r="DH17" s="67"/>
      <c r="DI17" s="67"/>
      <c r="DJ17" s="67"/>
      <c r="DK17" s="67"/>
      <c r="DL17" s="67"/>
      <c r="DM17" s="67"/>
      <c r="DN17" s="67"/>
      <c r="DO17" s="67"/>
      <c r="DP17" s="67"/>
      <c r="DQ17" s="67"/>
      <c r="DR17" s="67"/>
      <c r="DS17" s="67"/>
      <c r="DT17" s="68"/>
      <c r="DU17" s="66"/>
      <c r="DV17" s="67"/>
      <c r="DW17" s="67"/>
      <c r="DX17" s="67"/>
      <c r="DY17" s="67"/>
      <c r="DZ17" s="67"/>
      <c r="EA17" s="67"/>
      <c r="EB17" s="67"/>
      <c r="EC17" s="67"/>
      <c r="ED17" s="67"/>
      <c r="EE17" s="67"/>
      <c r="EF17" s="67"/>
      <c r="EG17" s="67"/>
      <c r="EH17" s="67"/>
      <c r="EI17" s="67"/>
      <c r="EJ17" s="67"/>
      <c r="EK17" s="67"/>
      <c r="EL17" s="67"/>
      <c r="EM17" s="67"/>
      <c r="EN17" s="67"/>
      <c r="EO17" s="67"/>
      <c r="EP17" s="67"/>
      <c r="EQ17" s="67"/>
      <c r="ER17" s="67"/>
      <c r="ES17" s="67"/>
      <c r="ET17" s="67"/>
      <c r="EU17" s="67"/>
      <c r="EV17" s="67"/>
      <c r="EW17" s="67"/>
      <c r="EX17" s="67"/>
      <c r="EY17" s="68"/>
      <c r="EZ17" s="66"/>
      <c r="FA17" s="67"/>
      <c r="FB17" s="67"/>
      <c r="FC17" s="67"/>
      <c r="FD17" s="67"/>
      <c r="FE17" s="67"/>
      <c r="FF17" s="67"/>
      <c r="FG17" s="67"/>
      <c r="FH17" s="67"/>
      <c r="FI17" s="67"/>
      <c r="FJ17" s="67"/>
      <c r="FK17" s="67"/>
      <c r="FL17" s="67"/>
      <c r="FM17" s="67"/>
      <c r="FN17" s="67"/>
      <c r="FO17" s="67"/>
      <c r="FP17" s="67"/>
      <c r="FQ17" s="67"/>
      <c r="FR17" s="67"/>
      <c r="FS17" s="67"/>
      <c r="FT17" s="67"/>
      <c r="FU17" s="67"/>
      <c r="FV17" s="67"/>
      <c r="FW17" s="67"/>
      <c r="FX17" s="67"/>
      <c r="FY17" s="67"/>
      <c r="FZ17" s="67"/>
      <c r="GA17" s="67"/>
      <c r="GB17" s="67"/>
      <c r="GC17" s="68"/>
      <c r="GD17" s="66"/>
      <c r="GE17" s="67"/>
      <c r="GF17" s="67"/>
      <c r="GG17" s="67"/>
      <c r="GH17" s="67"/>
      <c r="GI17" s="67"/>
      <c r="GJ17" s="67"/>
      <c r="GK17" s="67"/>
      <c r="GL17" s="67"/>
      <c r="GM17" s="67"/>
      <c r="GN17" s="67"/>
      <c r="GO17" s="67"/>
      <c r="GP17" s="67"/>
      <c r="GQ17" s="67"/>
      <c r="GR17" s="67"/>
      <c r="GS17" s="67"/>
      <c r="GT17" s="67"/>
      <c r="GU17" s="67"/>
      <c r="GV17" s="67"/>
      <c r="GW17" s="67"/>
      <c r="GX17" s="67"/>
      <c r="GY17" s="67"/>
      <c r="GZ17" s="67"/>
      <c r="HA17" s="67"/>
      <c r="HB17" s="67"/>
      <c r="HC17" s="67"/>
      <c r="HD17" s="67"/>
      <c r="HE17" s="67"/>
      <c r="HF17" s="67"/>
      <c r="HG17" s="67"/>
      <c r="HH17" s="68"/>
      <c r="HI17" s="66"/>
      <c r="HJ17" s="67"/>
      <c r="HK17" s="67"/>
      <c r="HL17" s="67"/>
      <c r="HM17" s="67"/>
      <c r="HN17" s="67"/>
      <c r="HO17" s="67"/>
      <c r="HP17" s="67"/>
      <c r="HQ17" s="67"/>
      <c r="HR17" s="67"/>
      <c r="HS17" s="67"/>
      <c r="HT17" s="67"/>
      <c r="HU17" s="67"/>
      <c r="HV17" s="67"/>
      <c r="HW17" s="67"/>
      <c r="HX17" s="67"/>
      <c r="HY17" s="67"/>
      <c r="HZ17" s="67"/>
      <c r="IA17" s="67"/>
      <c r="IB17" s="67"/>
      <c r="IC17" s="67"/>
      <c r="ID17" s="67"/>
      <c r="IE17" s="67"/>
      <c r="IF17" s="67"/>
      <c r="IG17" s="67"/>
      <c r="IH17" s="67"/>
      <c r="II17" s="67"/>
      <c r="IJ17" s="67"/>
      <c r="IK17" s="67"/>
      <c r="IL17" s="67"/>
      <c r="IM17" s="68"/>
      <c r="IN17" s="66"/>
      <c r="IO17" s="67"/>
      <c r="IP17" s="67"/>
      <c r="IQ17" s="67"/>
      <c r="IR17" s="67"/>
      <c r="IS17" s="67"/>
      <c r="IT17" s="67"/>
      <c r="IU17" s="67"/>
      <c r="IV17" s="67"/>
      <c r="IW17" s="67"/>
      <c r="IX17" s="67"/>
      <c r="IY17" s="67"/>
      <c r="IZ17" s="67"/>
      <c r="JA17" s="67"/>
      <c r="JB17" s="67"/>
      <c r="JC17" s="67"/>
      <c r="JD17" s="67"/>
      <c r="JE17" s="67"/>
      <c r="JF17" s="67"/>
      <c r="JG17" s="67"/>
      <c r="JH17" s="67"/>
      <c r="JI17" s="67"/>
      <c r="JJ17" s="67"/>
      <c r="JK17" s="67"/>
      <c r="JL17" s="67"/>
      <c r="JM17" s="67"/>
      <c r="JN17" s="67"/>
      <c r="JO17" s="67"/>
      <c r="JP17" s="67"/>
      <c r="JQ17" s="68"/>
      <c r="JR17" s="66"/>
      <c r="JS17" s="67"/>
      <c r="JT17" s="67"/>
      <c r="JU17" s="67"/>
      <c r="JV17" s="67"/>
      <c r="JW17" s="67"/>
      <c r="JX17" s="67"/>
      <c r="JY17" s="67"/>
      <c r="JZ17" s="67"/>
      <c r="KA17" s="67"/>
      <c r="KB17" s="67"/>
      <c r="KC17" s="67"/>
      <c r="KD17" s="67"/>
      <c r="KE17" s="67"/>
      <c r="KF17" s="67"/>
      <c r="KG17" s="67"/>
      <c r="KH17" s="67"/>
      <c r="KI17" s="67"/>
      <c r="KJ17" s="67"/>
      <c r="KK17" s="67"/>
      <c r="KL17" s="67"/>
      <c r="KM17" s="67"/>
      <c r="KN17" s="67"/>
      <c r="KO17" s="67"/>
      <c r="KP17" s="67"/>
      <c r="KQ17" s="67"/>
      <c r="KR17" s="67"/>
      <c r="KS17" s="67"/>
      <c r="KT17" s="67"/>
      <c r="KU17" s="67"/>
      <c r="KV17" s="68"/>
      <c r="KW17" s="66"/>
      <c r="KX17" s="67"/>
      <c r="KY17" s="67"/>
      <c r="KZ17" s="67"/>
      <c r="LA17" s="67"/>
      <c r="LB17" s="67"/>
      <c r="LC17" s="67"/>
      <c r="LD17" s="67"/>
      <c r="LE17" s="67"/>
      <c r="LF17" s="67"/>
      <c r="LG17" s="67"/>
      <c r="LH17" s="67"/>
      <c r="LI17" s="67"/>
      <c r="LJ17" s="67"/>
      <c r="LK17" s="67"/>
      <c r="LL17" s="67"/>
      <c r="LM17" s="67"/>
      <c r="LN17" s="67"/>
      <c r="LO17" s="67"/>
      <c r="LP17" s="67"/>
      <c r="LQ17" s="67"/>
      <c r="LR17" s="67"/>
      <c r="LS17" s="67"/>
      <c r="LT17" s="67"/>
      <c r="LU17" s="67"/>
      <c r="LV17" s="67"/>
      <c r="LW17" s="67"/>
      <c r="LX17" s="67"/>
      <c r="LY17" s="67"/>
      <c r="LZ17" s="68"/>
      <c r="MA17" s="66"/>
      <c r="MB17" s="67"/>
      <c r="MC17" s="67"/>
      <c r="MD17" s="67"/>
      <c r="ME17" s="67"/>
      <c r="MF17" s="67"/>
      <c r="MG17" s="67"/>
      <c r="MH17" s="67"/>
      <c r="MI17" s="67"/>
      <c r="MJ17" s="67"/>
      <c r="MK17" s="67"/>
      <c r="ML17" s="67"/>
      <c r="MM17" s="67"/>
      <c r="MN17" s="67"/>
      <c r="MO17" s="67"/>
      <c r="MP17" s="67"/>
      <c r="MQ17" s="67"/>
      <c r="MR17" s="67"/>
      <c r="MS17" s="67"/>
      <c r="MT17" s="67"/>
      <c r="MU17" s="67"/>
      <c r="MV17" s="67"/>
      <c r="MW17" s="67"/>
      <c r="MX17" s="67"/>
      <c r="MY17" s="67"/>
      <c r="MZ17" s="67"/>
      <c r="NA17" s="67"/>
      <c r="NB17" s="67"/>
      <c r="NC17" s="67"/>
      <c r="ND17" s="67"/>
      <c r="NE17" s="68"/>
    </row>
    <row r="18" spans="1:369" x14ac:dyDescent="0.25">
      <c r="A18" s="57"/>
      <c r="B18" s="64"/>
      <c r="C18" s="65"/>
      <c r="D18" s="65"/>
      <c r="E18" s="66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8"/>
      <c r="AJ18" s="66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8"/>
      <c r="BL18" s="66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7"/>
      <c r="CA18" s="67"/>
      <c r="CB18" s="67"/>
      <c r="CC18" s="67"/>
      <c r="CD18" s="67"/>
      <c r="CE18" s="67"/>
      <c r="CF18" s="67"/>
      <c r="CG18" s="67"/>
      <c r="CH18" s="67"/>
      <c r="CI18" s="67"/>
      <c r="CJ18" s="67"/>
      <c r="CK18" s="67"/>
      <c r="CL18" s="67"/>
      <c r="CM18" s="67"/>
      <c r="CN18" s="67"/>
      <c r="CO18" s="67"/>
      <c r="CP18" s="68"/>
      <c r="CQ18" s="66"/>
      <c r="CR18" s="67"/>
      <c r="CS18" s="67"/>
      <c r="CT18" s="67"/>
      <c r="CU18" s="67"/>
      <c r="CV18" s="67"/>
      <c r="CW18" s="67"/>
      <c r="CX18" s="67"/>
      <c r="CY18" s="67"/>
      <c r="CZ18" s="67"/>
      <c r="DA18" s="67"/>
      <c r="DB18" s="67"/>
      <c r="DC18" s="67"/>
      <c r="DD18" s="67"/>
      <c r="DE18" s="67"/>
      <c r="DF18" s="67"/>
      <c r="DG18" s="67"/>
      <c r="DH18" s="67"/>
      <c r="DI18" s="67"/>
      <c r="DJ18" s="67"/>
      <c r="DK18" s="67"/>
      <c r="DL18" s="67"/>
      <c r="DM18" s="67"/>
      <c r="DN18" s="67"/>
      <c r="DO18" s="67"/>
      <c r="DP18" s="67"/>
      <c r="DQ18" s="67"/>
      <c r="DR18" s="67"/>
      <c r="DS18" s="67"/>
      <c r="DT18" s="68"/>
      <c r="DU18" s="66"/>
      <c r="DV18" s="67"/>
      <c r="DW18" s="67"/>
      <c r="DX18" s="67"/>
      <c r="DY18" s="67"/>
      <c r="DZ18" s="67"/>
      <c r="EA18" s="67"/>
      <c r="EB18" s="67"/>
      <c r="EC18" s="67"/>
      <c r="ED18" s="67"/>
      <c r="EE18" s="67"/>
      <c r="EF18" s="67"/>
      <c r="EG18" s="67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7"/>
      <c r="ES18" s="67"/>
      <c r="ET18" s="67"/>
      <c r="EU18" s="67"/>
      <c r="EV18" s="67"/>
      <c r="EW18" s="67"/>
      <c r="EX18" s="67"/>
      <c r="EY18" s="68"/>
      <c r="EZ18" s="66"/>
      <c r="FA18" s="67"/>
      <c r="FB18" s="67"/>
      <c r="FC18" s="67"/>
      <c r="FD18" s="67"/>
      <c r="FE18" s="67"/>
      <c r="FF18" s="67"/>
      <c r="FG18" s="67"/>
      <c r="FH18" s="67"/>
      <c r="FI18" s="67"/>
      <c r="FJ18" s="67"/>
      <c r="FK18" s="67"/>
      <c r="FL18" s="67"/>
      <c r="FM18" s="67"/>
      <c r="FN18" s="67"/>
      <c r="FO18" s="67"/>
      <c r="FP18" s="67"/>
      <c r="FQ18" s="67"/>
      <c r="FR18" s="67"/>
      <c r="FS18" s="67"/>
      <c r="FT18" s="67"/>
      <c r="FU18" s="67"/>
      <c r="FV18" s="67"/>
      <c r="FW18" s="67"/>
      <c r="FX18" s="67"/>
      <c r="FY18" s="67"/>
      <c r="FZ18" s="67"/>
      <c r="GA18" s="67"/>
      <c r="GB18" s="67"/>
      <c r="GC18" s="68"/>
      <c r="GD18" s="66"/>
      <c r="GE18" s="67"/>
      <c r="GF18" s="67"/>
      <c r="GG18" s="67"/>
      <c r="GH18" s="67"/>
      <c r="GI18" s="67"/>
      <c r="GJ18" s="67"/>
      <c r="GK18" s="67"/>
      <c r="GL18" s="67"/>
      <c r="GM18" s="67"/>
      <c r="GN18" s="67"/>
      <c r="GO18" s="67"/>
      <c r="GP18" s="67"/>
      <c r="GQ18" s="67"/>
      <c r="GR18" s="67"/>
      <c r="GS18" s="67"/>
      <c r="GT18" s="67"/>
      <c r="GU18" s="67"/>
      <c r="GV18" s="67"/>
      <c r="GW18" s="67"/>
      <c r="GX18" s="67"/>
      <c r="GY18" s="67"/>
      <c r="GZ18" s="67"/>
      <c r="HA18" s="67"/>
      <c r="HB18" s="67"/>
      <c r="HC18" s="67"/>
      <c r="HD18" s="67"/>
      <c r="HE18" s="67"/>
      <c r="HF18" s="67"/>
      <c r="HG18" s="67"/>
      <c r="HH18" s="68"/>
      <c r="HI18" s="66"/>
      <c r="HJ18" s="67"/>
      <c r="HK18" s="67"/>
      <c r="HL18" s="67"/>
      <c r="HM18" s="67"/>
      <c r="HN18" s="67"/>
      <c r="HO18" s="67"/>
      <c r="HP18" s="67"/>
      <c r="HQ18" s="67"/>
      <c r="HR18" s="67"/>
      <c r="HS18" s="67"/>
      <c r="HT18" s="67"/>
      <c r="HU18" s="67"/>
      <c r="HV18" s="67"/>
      <c r="HW18" s="67"/>
      <c r="HX18" s="67"/>
      <c r="HY18" s="67"/>
      <c r="HZ18" s="67"/>
      <c r="IA18" s="67"/>
      <c r="IB18" s="67"/>
      <c r="IC18" s="67"/>
      <c r="ID18" s="67"/>
      <c r="IE18" s="67"/>
      <c r="IF18" s="67"/>
      <c r="IG18" s="67"/>
      <c r="IH18" s="67"/>
      <c r="II18" s="67"/>
      <c r="IJ18" s="67"/>
      <c r="IK18" s="67"/>
      <c r="IL18" s="67"/>
      <c r="IM18" s="68"/>
      <c r="IN18" s="66"/>
      <c r="IO18" s="67"/>
      <c r="IP18" s="67"/>
      <c r="IQ18" s="67"/>
      <c r="IR18" s="67"/>
      <c r="IS18" s="67"/>
      <c r="IT18" s="67"/>
      <c r="IU18" s="67"/>
      <c r="IV18" s="67"/>
      <c r="IW18" s="67"/>
      <c r="IX18" s="67"/>
      <c r="IY18" s="67"/>
      <c r="IZ18" s="67"/>
      <c r="JA18" s="67"/>
      <c r="JB18" s="67"/>
      <c r="JC18" s="67"/>
      <c r="JD18" s="67"/>
      <c r="JE18" s="67"/>
      <c r="JF18" s="67"/>
      <c r="JG18" s="67"/>
      <c r="JH18" s="67"/>
      <c r="JI18" s="67"/>
      <c r="JJ18" s="67"/>
      <c r="JK18" s="67"/>
      <c r="JL18" s="67"/>
      <c r="JM18" s="67"/>
      <c r="JN18" s="67"/>
      <c r="JO18" s="67"/>
      <c r="JP18" s="67"/>
      <c r="JQ18" s="68"/>
      <c r="JR18" s="66"/>
      <c r="JS18" s="67"/>
      <c r="JT18" s="67"/>
      <c r="JU18" s="67"/>
      <c r="JV18" s="67"/>
      <c r="JW18" s="67"/>
      <c r="JX18" s="67"/>
      <c r="JY18" s="67"/>
      <c r="JZ18" s="67"/>
      <c r="KA18" s="67"/>
      <c r="KB18" s="67"/>
      <c r="KC18" s="67"/>
      <c r="KD18" s="67"/>
      <c r="KE18" s="67"/>
      <c r="KF18" s="67"/>
      <c r="KG18" s="67"/>
      <c r="KH18" s="67"/>
      <c r="KI18" s="67"/>
      <c r="KJ18" s="67"/>
      <c r="KK18" s="67"/>
      <c r="KL18" s="67"/>
      <c r="KM18" s="67"/>
      <c r="KN18" s="67"/>
      <c r="KO18" s="67"/>
      <c r="KP18" s="67"/>
      <c r="KQ18" s="67"/>
      <c r="KR18" s="67"/>
      <c r="KS18" s="67"/>
      <c r="KT18" s="67"/>
      <c r="KU18" s="67"/>
      <c r="KV18" s="68"/>
      <c r="KW18" s="66"/>
      <c r="KX18" s="67"/>
      <c r="KY18" s="67"/>
      <c r="KZ18" s="67"/>
      <c r="LA18" s="67"/>
      <c r="LB18" s="67"/>
      <c r="LC18" s="67"/>
      <c r="LD18" s="67"/>
      <c r="LE18" s="67"/>
      <c r="LF18" s="67"/>
      <c r="LG18" s="67"/>
      <c r="LH18" s="67"/>
      <c r="LI18" s="67"/>
      <c r="LJ18" s="67"/>
      <c r="LK18" s="67"/>
      <c r="LL18" s="67"/>
      <c r="LM18" s="67"/>
      <c r="LN18" s="67"/>
      <c r="LO18" s="67"/>
      <c r="LP18" s="67"/>
      <c r="LQ18" s="67"/>
      <c r="LR18" s="67"/>
      <c r="LS18" s="67"/>
      <c r="LT18" s="67"/>
      <c r="LU18" s="67"/>
      <c r="LV18" s="67"/>
      <c r="LW18" s="67"/>
      <c r="LX18" s="67"/>
      <c r="LY18" s="67"/>
      <c r="LZ18" s="68"/>
      <c r="MA18" s="66"/>
      <c r="MB18" s="67"/>
      <c r="MC18" s="67"/>
      <c r="MD18" s="67"/>
      <c r="ME18" s="67"/>
      <c r="MF18" s="67"/>
      <c r="MG18" s="67"/>
      <c r="MH18" s="67"/>
      <c r="MI18" s="67"/>
      <c r="MJ18" s="67"/>
      <c r="MK18" s="67"/>
      <c r="ML18" s="67"/>
      <c r="MM18" s="67"/>
      <c r="MN18" s="67"/>
      <c r="MO18" s="67"/>
      <c r="MP18" s="67"/>
      <c r="MQ18" s="67"/>
      <c r="MR18" s="67"/>
      <c r="MS18" s="67"/>
      <c r="MT18" s="67"/>
      <c r="MU18" s="67"/>
      <c r="MV18" s="67"/>
      <c r="MW18" s="67"/>
      <c r="MX18" s="67"/>
      <c r="MY18" s="67"/>
      <c r="MZ18" s="67"/>
      <c r="NA18" s="67"/>
      <c r="NB18" s="67"/>
      <c r="NC18" s="67"/>
      <c r="ND18" s="67"/>
      <c r="NE18" s="68"/>
    </row>
    <row r="19" spans="1:369" x14ac:dyDescent="0.25">
      <c r="A19" s="63"/>
      <c r="B19" s="64"/>
      <c r="C19" s="65"/>
      <c r="D19" s="65"/>
      <c r="E19" s="66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8"/>
      <c r="AJ19" s="66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8"/>
      <c r="BL19" s="66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7"/>
      <c r="CA19" s="67"/>
      <c r="CB19" s="67"/>
      <c r="CC19" s="67"/>
      <c r="CD19" s="67"/>
      <c r="CE19" s="67"/>
      <c r="CF19" s="67"/>
      <c r="CG19" s="67"/>
      <c r="CH19" s="67"/>
      <c r="CI19" s="67"/>
      <c r="CJ19" s="67"/>
      <c r="CK19" s="67"/>
      <c r="CL19" s="67"/>
      <c r="CM19" s="67"/>
      <c r="CN19" s="67"/>
      <c r="CO19" s="67"/>
      <c r="CP19" s="68"/>
      <c r="CQ19" s="66"/>
      <c r="CR19" s="67"/>
      <c r="CS19" s="67"/>
      <c r="CT19" s="67"/>
      <c r="CU19" s="67"/>
      <c r="CV19" s="67"/>
      <c r="CW19" s="67"/>
      <c r="CX19" s="67"/>
      <c r="CY19" s="67"/>
      <c r="CZ19" s="67"/>
      <c r="DA19" s="67"/>
      <c r="DB19" s="67"/>
      <c r="DC19" s="67"/>
      <c r="DD19" s="67"/>
      <c r="DE19" s="67"/>
      <c r="DF19" s="67"/>
      <c r="DG19" s="67"/>
      <c r="DH19" s="67"/>
      <c r="DI19" s="67"/>
      <c r="DJ19" s="67"/>
      <c r="DK19" s="67"/>
      <c r="DL19" s="67"/>
      <c r="DM19" s="67"/>
      <c r="DN19" s="67"/>
      <c r="DO19" s="67"/>
      <c r="DP19" s="67"/>
      <c r="DQ19" s="67"/>
      <c r="DR19" s="67"/>
      <c r="DS19" s="67"/>
      <c r="DT19" s="68"/>
      <c r="DU19" s="66"/>
      <c r="DV19" s="67"/>
      <c r="DW19" s="67"/>
      <c r="DX19" s="67"/>
      <c r="DY19" s="67"/>
      <c r="DZ19" s="67"/>
      <c r="EA19" s="67"/>
      <c r="EB19" s="67"/>
      <c r="EC19" s="67"/>
      <c r="ED19" s="67"/>
      <c r="EE19" s="67"/>
      <c r="EF19" s="67"/>
      <c r="EG19" s="67"/>
      <c r="EH19" s="67"/>
      <c r="EI19" s="67"/>
      <c r="EJ19" s="67"/>
      <c r="EK19" s="67"/>
      <c r="EL19" s="67"/>
      <c r="EM19" s="67"/>
      <c r="EN19" s="67"/>
      <c r="EO19" s="67"/>
      <c r="EP19" s="67"/>
      <c r="EQ19" s="67"/>
      <c r="ER19" s="67"/>
      <c r="ES19" s="67"/>
      <c r="ET19" s="67"/>
      <c r="EU19" s="67"/>
      <c r="EV19" s="67"/>
      <c r="EW19" s="67"/>
      <c r="EX19" s="67"/>
      <c r="EY19" s="68"/>
      <c r="EZ19" s="66"/>
      <c r="FA19" s="67"/>
      <c r="FB19" s="67"/>
      <c r="FC19" s="67"/>
      <c r="FD19" s="67"/>
      <c r="FE19" s="67"/>
      <c r="FF19" s="67"/>
      <c r="FG19" s="67"/>
      <c r="FH19" s="67"/>
      <c r="FI19" s="67"/>
      <c r="FJ19" s="67"/>
      <c r="FK19" s="67"/>
      <c r="FL19" s="67"/>
      <c r="FM19" s="67"/>
      <c r="FN19" s="67"/>
      <c r="FO19" s="67"/>
      <c r="FP19" s="67"/>
      <c r="FQ19" s="67"/>
      <c r="FR19" s="67"/>
      <c r="FS19" s="67"/>
      <c r="FT19" s="67"/>
      <c r="FU19" s="67"/>
      <c r="FV19" s="67"/>
      <c r="FW19" s="67"/>
      <c r="FX19" s="67"/>
      <c r="FY19" s="67"/>
      <c r="FZ19" s="67"/>
      <c r="GA19" s="67"/>
      <c r="GB19" s="67"/>
      <c r="GC19" s="68"/>
      <c r="GD19" s="66"/>
      <c r="GE19" s="67"/>
      <c r="GF19" s="67"/>
      <c r="GG19" s="67"/>
      <c r="GH19" s="67"/>
      <c r="GI19" s="67"/>
      <c r="GJ19" s="67"/>
      <c r="GK19" s="67"/>
      <c r="GL19" s="67"/>
      <c r="GM19" s="67"/>
      <c r="GN19" s="67"/>
      <c r="GO19" s="67"/>
      <c r="GP19" s="67"/>
      <c r="GQ19" s="67"/>
      <c r="GR19" s="67"/>
      <c r="GS19" s="67"/>
      <c r="GT19" s="67"/>
      <c r="GU19" s="67"/>
      <c r="GV19" s="67"/>
      <c r="GW19" s="67"/>
      <c r="GX19" s="67"/>
      <c r="GY19" s="67"/>
      <c r="GZ19" s="67"/>
      <c r="HA19" s="67"/>
      <c r="HB19" s="67"/>
      <c r="HC19" s="67"/>
      <c r="HD19" s="67"/>
      <c r="HE19" s="67"/>
      <c r="HF19" s="67"/>
      <c r="HG19" s="67"/>
      <c r="HH19" s="68"/>
      <c r="HI19" s="66"/>
      <c r="HJ19" s="67"/>
      <c r="HK19" s="67"/>
      <c r="HL19" s="67"/>
      <c r="HM19" s="67"/>
      <c r="HN19" s="67"/>
      <c r="HO19" s="67"/>
      <c r="HP19" s="67"/>
      <c r="HQ19" s="67"/>
      <c r="HR19" s="67"/>
      <c r="HS19" s="67"/>
      <c r="HT19" s="67"/>
      <c r="HU19" s="67"/>
      <c r="HV19" s="67"/>
      <c r="HW19" s="67"/>
      <c r="HX19" s="67"/>
      <c r="HY19" s="67"/>
      <c r="HZ19" s="67"/>
      <c r="IA19" s="67"/>
      <c r="IB19" s="67"/>
      <c r="IC19" s="67"/>
      <c r="ID19" s="67"/>
      <c r="IE19" s="67"/>
      <c r="IF19" s="67"/>
      <c r="IG19" s="67"/>
      <c r="IH19" s="67"/>
      <c r="II19" s="67"/>
      <c r="IJ19" s="67"/>
      <c r="IK19" s="67"/>
      <c r="IL19" s="67"/>
      <c r="IM19" s="68"/>
      <c r="IN19" s="66"/>
      <c r="IO19" s="67"/>
      <c r="IP19" s="67"/>
      <c r="IQ19" s="67"/>
      <c r="IR19" s="67"/>
      <c r="IS19" s="67"/>
      <c r="IT19" s="67"/>
      <c r="IU19" s="67"/>
      <c r="IV19" s="67"/>
      <c r="IW19" s="67"/>
      <c r="IX19" s="67"/>
      <c r="IY19" s="67"/>
      <c r="IZ19" s="67"/>
      <c r="JA19" s="67"/>
      <c r="JB19" s="67"/>
      <c r="JC19" s="67"/>
      <c r="JD19" s="67"/>
      <c r="JE19" s="67"/>
      <c r="JF19" s="67"/>
      <c r="JG19" s="67"/>
      <c r="JH19" s="67"/>
      <c r="JI19" s="67"/>
      <c r="JJ19" s="67"/>
      <c r="JK19" s="67"/>
      <c r="JL19" s="67"/>
      <c r="JM19" s="67"/>
      <c r="JN19" s="67"/>
      <c r="JO19" s="67"/>
      <c r="JP19" s="67"/>
      <c r="JQ19" s="68"/>
      <c r="JR19" s="66"/>
      <c r="JS19" s="67"/>
      <c r="JT19" s="67"/>
      <c r="JU19" s="67"/>
      <c r="JV19" s="67"/>
      <c r="JW19" s="67"/>
      <c r="JX19" s="67"/>
      <c r="JY19" s="67"/>
      <c r="JZ19" s="67"/>
      <c r="KA19" s="67"/>
      <c r="KB19" s="67"/>
      <c r="KC19" s="67"/>
      <c r="KD19" s="67"/>
      <c r="KE19" s="67"/>
      <c r="KF19" s="67"/>
      <c r="KG19" s="67"/>
      <c r="KH19" s="67"/>
      <c r="KI19" s="67"/>
      <c r="KJ19" s="67"/>
      <c r="KK19" s="67"/>
      <c r="KL19" s="67"/>
      <c r="KM19" s="67"/>
      <c r="KN19" s="67"/>
      <c r="KO19" s="67"/>
      <c r="KP19" s="67"/>
      <c r="KQ19" s="67"/>
      <c r="KR19" s="67"/>
      <c r="KS19" s="67"/>
      <c r="KT19" s="67"/>
      <c r="KU19" s="67"/>
      <c r="KV19" s="68"/>
      <c r="KW19" s="66"/>
      <c r="KX19" s="67"/>
      <c r="KY19" s="67"/>
      <c r="KZ19" s="67"/>
      <c r="LA19" s="67"/>
      <c r="LB19" s="67"/>
      <c r="LC19" s="67"/>
      <c r="LD19" s="67"/>
      <c r="LE19" s="67"/>
      <c r="LF19" s="67"/>
      <c r="LG19" s="67"/>
      <c r="LH19" s="67"/>
      <c r="LI19" s="67"/>
      <c r="LJ19" s="67"/>
      <c r="LK19" s="67"/>
      <c r="LL19" s="67"/>
      <c r="LM19" s="67"/>
      <c r="LN19" s="67"/>
      <c r="LO19" s="67"/>
      <c r="LP19" s="67"/>
      <c r="LQ19" s="67"/>
      <c r="LR19" s="67"/>
      <c r="LS19" s="67"/>
      <c r="LT19" s="67"/>
      <c r="LU19" s="67"/>
      <c r="LV19" s="67"/>
      <c r="LW19" s="67"/>
      <c r="LX19" s="67"/>
      <c r="LY19" s="67"/>
      <c r="LZ19" s="68"/>
      <c r="MA19" s="66"/>
      <c r="MB19" s="67"/>
      <c r="MC19" s="67"/>
      <c r="MD19" s="67"/>
      <c r="ME19" s="67"/>
      <c r="MF19" s="67"/>
      <c r="MG19" s="67"/>
      <c r="MH19" s="67"/>
      <c r="MI19" s="67"/>
      <c r="MJ19" s="67"/>
      <c r="MK19" s="67"/>
      <c r="ML19" s="67"/>
      <c r="MM19" s="67"/>
      <c r="MN19" s="67"/>
      <c r="MO19" s="67"/>
      <c r="MP19" s="67"/>
      <c r="MQ19" s="67"/>
      <c r="MR19" s="67"/>
      <c r="MS19" s="67"/>
      <c r="MT19" s="67"/>
      <c r="MU19" s="67"/>
      <c r="MV19" s="67"/>
      <c r="MW19" s="67"/>
      <c r="MX19" s="67"/>
      <c r="MY19" s="67"/>
      <c r="MZ19" s="67"/>
      <c r="NA19" s="67"/>
      <c r="NB19" s="67"/>
      <c r="NC19" s="67"/>
      <c r="ND19" s="67"/>
      <c r="NE19" s="68"/>
    </row>
    <row r="20" spans="1:369" x14ac:dyDescent="0.25">
      <c r="A20" s="57"/>
      <c r="B20" s="64"/>
      <c r="C20" s="65"/>
      <c r="D20" s="65"/>
      <c r="E20" s="66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8"/>
      <c r="AJ20" s="66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8"/>
      <c r="BL20" s="66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  <c r="CI20" s="67"/>
      <c r="CJ20" s="67"/>
      <c r="CK20" s="67"/>
      <c r="CL20" s="67"/>
      <c r="CM20" s="67"/>
      <c r="CN20" s="67"/>
      <c r="CO20" s="67"/>
      <c r="CP20" s="68"/>
      <c r="CQ20" s="66"/>
      <c r="CR20" s="67"/>
      <c r="CS20" s="67"/>
      <c r="CT20" s="67"/>
      <c r="CU20" s="67"/>
      <c r="CV20" s="67"/>
      <c r="CW20" s="67"/>
      <c r="CX20" s="67"/>
      <c r="CY20" s="67"/>
      <c r="CZ20" s="67"/>
      <c r="DA20" s="67"/>
      <c r="DB20" s="67"/>
      <c r="DC20" s="67"/>
      <c r="DD20" s="67"/>
      <c r="DE20" s="67"/>
      <c r="DF20" s="67"/>
      <c r="DG20" s="67"/>
      <c r="DH20" s="67"/>
      <c r="DI20" s="67"/>
      <c r="DJ20" s="67"/>
      <c r="DK20" s="67"/>
      <c r="DL20" s="67"/>
      <c r="DM20" s="67"/>
      <c r="DN20" s="67"/>
      <c r="DO20" s="67"/>
      <c r="DP20" s="67"/>
      <c r="DQ20" s="67"/>
      <c r="DR20" s="67"/>
      <c r="DS20" s="67"/>
      <c r="DT20" s="68"/>
      <c r="DU20" s="66"/>
      <c r="DV20" s="67"/>
      <c r="DW20" s="67"/>
      <c r="DX20" s="67"/>
      <c r="DY20" s="67"/>
      <c r="DZ20" s="67"/>
      <c r="EA20" s="67"/>
      <c r="EB20" s="67"/>
      <c r="EC20" s="67"/>
      <c r="ED20" s="67"/>
      <c r="EE20" s="67"/>
      <c r="EF20" s="67"/>
      <c r="EG20" s="67"/>
      <c r="EH20" s="67"/>
      <c r="EI20" s="67"/>
      <c r="EJ20" s="67"/>
      <c r="EK20" s="67"/>
      <c r="EL20" s="67"/>
      <c r="EM20" s="67"/>
      <c r="EN20" s="67"/>
      <c r="EO20" s="67"/>
      <c r="EP20" s="67"/>
      <c r="EQ20" s="67"/>
      <c r="ER20" s="67"/>
      <c r="ES20" s="67"/>
      <c r="ET20" s="67"/>
      <c r="EU20" s="67"/>
      <c r="EV20" s="67"/>
      <c r="EW20" s="67"/>
      <c r="EX20" s="67"/>
      <c r="EY20" s="68"/>
      <c r="EZ20" s="66"/>
      <c r="FA20" s="67"/>
      <c r="FB20" s="67"/>
      <c r="FC20" s="67"/>
      <c r="FD20" s="67"/>
      <c r="FE20" s="67"/>
      <c r="FF20" s="67"/>
      <c r="FG20" s="67"/>
      <c r="FH20" s="67"/>
      <c r="FI20" s="67"/>
      <c r="FJ20" s="67"/>
      <c r="FK20" s="67"/>
      <c r="FL20" s="67"/>
      <c r="FM20" s="67"/>
      <c r="FN20" s="67"/>
      <c r="FO20" s="67"/>
      <c r="FP20" s="67"/>
      <c r="FQ20" s="67"/>
      <c r="FR20" s="67"/>
      <c r="FS20" s="67"/>
      <c r="FT20" s="67"/>
      <c r="FU20" s="67"/>
      <c r="FV20" s="67"/>
      <c r="FW20" s="67"/>
      <c r="FX20" s="67"/>
      <c r="FY20" s="67"/>
      <c r="FZ20" s="67"/>
      <c r="GA20" s="67"/>
      <c r="GB20" s="67"/>
      <c r="GC20" s="68"/>
      <c r="GD20" s="66"/>
      <c r="GE20" s="67"/>
      <c r="GF20" s="67"/>
      <c r="GG20" s="67"/>
      <c r="GH20" s="67"/>
      <c r="GI20" s="67"/>
      <c r="GJ20" s="67"/>
      <c r="GK20" s="67"/>
      <c r="GL20" s="67"/>
      <c r="GM20" s="67"/>
      <c r="GN20" s="67"/>
      <c r="GO20" s="67"/>
      <c r="GP20" s="67"/>
      <c r="GQ20" s="67"/>
      <c r="GR20" s="67"/>
      <c r="GS20" s="67"/>
      <c r="GT20" s="67"/>
      <c r="GU20" s="67"/>
      <c r="GV20" s="67"/>
      <c r="GW20" s="67"/>
      <c r="GX20" s="67"/>
      <c r="GY20" s="67"/>
      <c r="GZ20" s="67"/>
      <c r="HA20" s="67"/>
      <c r="HB20" s="67"/>
      <c r="HC20" s="67"/>
      <c r="HD20" s="67"/>
      <c r="HE20" s="67"/>
      <c r="HF20" s="67"/>
      <c r="HG20" s="67"/>
      <c r="HH20" s="68"/>
      <c r="HI20" s="66"/>
      <c r="HJ20" s="67"/>
      <c r="HK20" s="67"/>
      <c r="HL20" s="67"/>
      <c r="HM20" s="67"/>
      <c r="HN20" s="67"/>
      <c r="HO20" s="67"/>
      <c r="HP20" s="67"/>
      <c r="HQ20" s="67"/>
      <c r="HR20" s="67"/>
      <c r="HS20" s="67"/>
      <c r="HT20" s="67"/>
      <c r="HU20" s="67"/>
      <c r="HV20" s="67"/>
      <c r="HW20" s="67"/>
      <c r="HX20" s="67"/>
      <c r="HY20" s="67"/>
      <c r="HZ20" s="67"/>
      <c r="IA20" s="67"/>
      <c r="IB20" s="67"/>
      <c r="IC20" s="67"/>
      <c r="ID20" s="67"/>
      <c r="IE20" s="67"/>
      <c r="IF20" s="67"/>
      <c r="IG20" s="67"/>
      <c r="IH20" s="67"/>
      <c r="II20" s="67"/>
      <c r="IJ20" s="67"/>
      <c r="IK20" s="67"/>
      <c r="IL20" s="67"/>
      <c r="IM20" s="68"/>
      <c r="IN20" s="66"/>
      <c r="IO20" s="67"/>
      <c r="IP20" s="67"/>
      <c r="IQ20" s="67"/>
      <c r="IR20" s="67"/>
      <c r="IS20" s="67"/>
      <c r="IT20" s="67"/>
      <c r="IU20" s="67"/>
      <c r="IV20" s="67"/>
      <c r="IW20" s="67"/>
      <c r="IX20" s="67"/>
      <c r="IY20" s="67"/>
      <c r="IZ20" s="67"/>
      <c r="JA20" s="67"/>
      <c r="JB20" s="67"/>
      <c r="JC20" s="67"/>
      <c r="JD20" s="67"/>
      <c r="JE20" s="67"/>
      <c r="JF20" s="67"/>
      <c r="JG20" s="67"/>
      <c r="JH20" s="67"/>
      <c r="JI20" s="67"/>
      <c r="JJ20" s="67"/>
      <c r="JK20" s="67"/>
      <c r="JL20" s="67"/>
      <c r="JM20" s="67"/>
      <c r="JN20" s="67"/>
      <c r="JO20" s="67"/>
      <c r="JP20" s="67"/>
      <c r="JQ20" s="68"/>
      <c r="JR20" s="66"/>
      <c r="JS20" s="67"/>
      <c r="JT20" s="67"/>
      <c r="JU20" s="67"/>
      <c r="JV20" s="67"/>
      <c r="JW20" s="67"/>
      <c r="JX20" s="67"/>
      <c r="JY20" s="67"/>
      <c r="JZ20" s="67"/>
      <c r="KA20" s="67"/>
      <c r="KB20" s="67"/>
      <c r="KC20" s="67"/>
      <c r="KD20" s="67"/>
      <c r="KE20" s="67"/>
      <c r="KF20" s="67"/>
      <c r="KG20" s="67"/>
      <c r="KH20" s="67"/>
      <c r="KI20" s="67"/>
      <c r="KJ20" s="67"/>
      <c r="KK20" s="67"/>
      <c r="KL20" s="67"/>
      <c r="KM20" s="67"/>
      <c r="KN20" s="67"/>
      <c r="KO20" s="67"/>
      <c r="KP20" s="67"/>
      <c r="KQ20" s="67"/>
      <c r="KR20" s="67"/>
      <c r="KS20" s="67"/>
      <c r="KT20" s="67"/>
      <c r="KU20" s="67"/>
      <c r="KV20" s="68"/>
      <c r="KW20" s="66"/>
      <c r="KX20" s="67"/>
      <c r="KY20" s="67"/>
      <c r="KZ20" s="67"/>
      <c r="LA20" s="67"/>
      <c r="LB20" s="67"/>
      <c r="LC20" s="67"/>
      <c r="LD20" s="67"/>
      <c r="LE20" s="67"/>
      <c r="LF20" s="67"/>
      <c r="LG20" s="67"/>
      <c r="LH20" s="67"/>
      <c r="LI20" s="67"/>
      <c r="LJ20" s="67"/>
      <c r="LK20" s="67"/>
      <c r="LL20" s="67"/>
      <c r="LM20" s="67"/>
      <c r="LN20" s="67"/>
      <c r="LO20" s="67"/>
      <c r="LP20" s="67"/>
      <c r="LQ20" s="67"/>
      <c r="LR20" s="67"/>
      <c r="LS20" s="67"/>
      <c r="LT20" s="67"/>
      <c r="LU20" s="67"/>
      <c r="LV20" s="67"/>
      <c r="LW20" s="67"/>
      <c r="LX20" s="67"/>
      <c r="LY20" s="67"/>
      <c r="LZ20" s="68"/>
      <c r="MA20" s="66"/>
      <c r="MB20" s="67"/>
      <c r="MC20" s="67"/>
      <c r="MD20" s="67"/>
      <c r="ME20" s="67"/>
      <c r="MF20" s="67"/>
      <c r="MG20" s="67"/>
      <c r="MH20" s="67"/>
      <c r="MI20" s="67"/>
      <c r="MJ20" s="67"/>
      <c r="MK20" s="67"/>
      <c r="ML20" s="67"/>
      <c r="MM20" s="67"/>
      <c r="MN20" s="67"/>
      <c r="MO20" s="67"/>
      <c r="MP20" s="67"/>
      <c r="MQ20" s="67"/>
      <c r="MR20" s="67"/>
      <c r="MS20" s="67"/>
      <c r="MT20" s="67"/>
      <c r="MU20" s="67"/>
      <c r="MV20" s="67"/>
      <c r="MW20" s="67"/>
      <c r="MX20" s="67"/>
      <c r="MY20" s="67"/>
      <c r="MZ20" s="67"/>
      <c r="NA20" s="67"/>
      <c r="NB20" s="67"/>
      <c r="NC20" s="67"/>
      <c r="ND20" s="67"/>
      <c r="NE20" s="68"/>
    </row>
    <row r="21" spans="1:369" x14ac:dyDescent="0.25">
      <c r="A21" s="63"/>
      <c r="B21" s="64"/>
      <c r="C21" s="65"/>
      <c r="D21" s="65"/>
      <c r="E21" s="66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8"/>
      <c r="AJ21" s="66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8"/>
      <c r="BL21" s="66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7"/>
      <c r="CA21" s="67"/>
      <c r="CB21" s="67"/>
      <c r="CC21" s="67"/>
      <c r="CD21" s="67"/>
      <c r="CE21" s="67"/>
      <c r="CF21" s="67"/>
      <c r="CG21" s="67"/>
      <c r="CH21" s="67"/>
      <c r="CI21" s="67"/>
      <c r="CJ21" s="67"/>
      <c r="CK21" s="67"/>
      <c r="CL21" s="67"/>
      <c r="CM21" s="67"/>
      <c r="CN21" s="67"/>
      <c r="CO21" s="67"/>
      <c r="CP21" s="68"/>
      <c r="CQ21" s="66"/>
      <c r="CR21" s="67"/>
      <c r="CS21" s="67"/>
      <c r="CT21" s="67"/>
      <c r="CU21" s="67"/>
      <c r="CV21" s="67"/>
      <c r="CW21" s="67"/>
      <c r="CX21" s="67"/>
      <c r="CY21" s="67"/>
      <c r="CZ21" s="67"/>
      <c r="DA21" s="67"/>
      <c r="DB21" s="67"/>
      <c r="DC21" s="67"/>
      <c r="DD21" s="67"/>
      <c r="DE21" s="67"/>
      <c r="DF21" s="67"/>
      <c r="DG21" s="67"/>
      <c r="DH21" s="67"/>
      <c r="DI21" s="67"/>
      <c r="DJ21" s="67"/>
      <c r="DK21" s="67"/>
      <c r="DL21" s="67"/>
      <c r="DM21" s="67"/>
      <c r="DN21" s="67"/>
      <c r="DO21" s="67"/>
      <c r="DP21" s="67"/>
      <c r="DQ21" s="67"/>
      <c r="DR21" s="67"/>
      <c r="DS21" s="67"/>
      <c r="DT21" s="68"/>
      <c r="DU21" s="66"/>
      <c r="DV21" s="67"/>
      <c r="DW21" s="67"/>
      <c r="DX21" s="67"/>
      <c r="DY21" s="67"/>
      <c r="DZ21" s="67"/>
      <c r="EA21" s="67"/>
      <c r="EB21" s="67"/>
      <c r="EC21" s="67"/>
      <c r="ED21" s="67"/>
      <c r="EE21" s="67"/>
      <c r="EF21" s="67"/>
      <c r="EG21" s="67"/>
      <c r="EH21" s="67"/>
      <c r="EI21" s="67"/>
      <c r="EJ21" s="67"/>
      <c r="EK21" s="67"/>
      <c r="EL21" s="67"/>
      <c r="EM21" s="67"/>
      <c r="EN21" s="67"/>
      <c r="EO21" s="67"/>
      <c r="EP21" s="67"/>
      <c r="EQ21" s="67"/>
      <c r="ER21" s="67"/>
      <c r="ES21" s="67"/>
      <c r="ET21" s="67"/>
      <c r="EU21" s="67"/>
      <c r="EV21" s="67"/>
      <c r="EW21" s="67"/>
      <c r="EX21" s="67"/>
      <c r="EY21" s="68"/>
      <c r="EZ21" s="66"/>
      <c r="FA21" s="67"/>
      <c r="FB21" s="67"/>
      <c r="FC21" s="67"/>
      <c r="FD21" s="67"/>
      <c r="FE21" s="67"/>
      <c r="FF21" s="67"/>
      <c r="FG21" s="67"/>
      <c r="FH21" s="67"/>
      <c r="FI21" s="67"/>
      <c r="FJ21" s="67"/>
      <c r="FK21" s="67"/>
      <c r="FL21" s="67"/>
      <c r="FM21" s="67"/>
      <c r="FN21" s="67"/>
      <c r="FO21" s="67"/>
      <c r="FP21" s="67"/>
      <c r="FQ21" s="67"/>
      <c r="FR21" s="67"/>
      <c r="FS21" s="67"/>
      <c r="FT21" s="67"/>
      <c r="FU21" s="67"/>
      <c r="FV21" s="67"/>
      <c r="FW21" s="67"/>
      <c r="FX21" s="67"/>
      <c r="FY21" s="67"/>
      <c r="FZ21" s="67"/>
      <c r="GA21" s="67"/>
      <c r="GB21" s="67"/>
      <c r="GC21" s="68"/>
      <c r="GD21" s="66"/>
      <c r="GE21" s="67"/>
      <c r="GF21" s="67"/>
      <c r="GG21" s="67"/>
      <c r="GH21" s="67"/>
      <c r="GI21" s="67"/>
      <c r="GJ21" s="67"/>
      <c r="GK21" s="67"/>
      <c r="GL21" s="67"/>
      <c r="GM21" s="67"/>
      <c r="GN21" s="67"/>
      <c r="GO21" s="67"/>
      <c r="GP21" s="67"/>
      <c r="GQ21" s="67"/>
      <c r="GR21" s="67"/>
      <c r="GS21" s="67"/>
      <c r="GT21" s="67"/>
      <c r="GU21" s="67"/>
      <c r="GV21" s="67"/>
      <c r="GW21" s="67"/>
      <c r="GX21" s="67"/>
      <c r="GY21" s="67"/>
      <c r="GZ21" s="67"/>
      <c r="HA21" s="67"/>
      <c r="HB21" s="67"/>
      <c r="HC21" s="67"/>
      <c r="HD21" s="67"/>
      <c r="HE21" s="67"/>
      <c r="HF21" s="67"/>
      <c r="HG21" s="67"/>
      <c r="HH21" s="68"/>
      <c r="HI21" s="66"/>
      <c r="HJ21" s="67"/>
      <c r="HK21" s="67"/>
      <c r="HL21" s="67"/>
      <c r="HM21" s="67"/>
      <c r="HN21" s="67"/>
      <c r="HO21" s="67"/>
      <c r="HP21" s="67"/>
      <c r="HQ21" s="67"/>
      <c r="HR21" s="67"/>
      <c r="HS21" s="67"/>
      <c r="HT21" s="67"/>
      <c r="HU21" s="67"/>
      <c r="HV21" s="67"/>
      <c r="HW21" s="67"/>
      <c r="HX21" s="67"/>
      <c r="HY21" s="67"/>
      <c r="HZ21" s="67"/>
      <c r="IA21" s="67"/>
      <c r="IB21" s="67"/>
      <c r="IC21" s="67"/>
      <c r="ID21" s="67"/>
      <c r="IE21" s="67"/>
      <c r="IF21" s="67"/>
      <c r="IG21" s="67"/>
      <c r="IH21" s="67"/>
      <c r="II21" s="67"/>
      <c r="IJ21" s="67"/>
      <c r="IK21" s="67"/>
      <c r="IL21" s="67"/>
      <c r="IM21" s="68"/>
      <c r="IN21" s="66"/>
      <c r="IO21" s="67"/>
      <c r="IP21" s="67"/>
      <c r="IQ21" s="67"/>
      <c r="IR21" s="67"/>
      <c r="IS21" s="67"/>
      <c r="IT21" s="67"/>
      <c r="IU21" s="67"/>
      <c r="IV21" s="67"/>
      <c r="IW21" s="67"/>
      <c r="IX21" s="67"/>
      <c r="IY21" s="67"/>
      <c r="IZ21" s="67"/>
      <c r="JA21" s="67"/>
      <c r="JB21" s="67"/>
      <c r="JC21" s="67"/>
      <c r="JD21" s="67"/>
      <c r="JE21" s="67"/>
      <c r="JF21" s="67"/>
      <c r="JG21" s="67"/>
      <c r="JH21" s="67"/>
      <c r="JI21" s="67"/>
      <c r="JJ21" s="67"/>
      <c r="JK21" s="67"/>
      <c r="JL21" s="67"/>
      <c r="JM21" s="67"/>
      <c r="JN21" s="67"/>
      <c r="JO21" s="67"/>
      <c r="JP21" s="67"/>
      <c r="JQ21" s="68"/>
      <c r="JR21" s="66"/>
      <c r="JS21" s="67"/>
      <c r="JT21" s="67"/>
      <c r="JU21" s="67"/>
      <c r="JV21" s="67"/>
      <c r="JW21" s="67"/>
      <c r="JX21" s="67"/>
      <c r="JY21" s="67"/>
      <c r="JZ21" s="67"/>
      <c r="KA21" s="67"/>
      <c r="KB21" s="67"/>
      <c r="KC21" s="67"/>
      <c r="KD21" s="67"/>
      <c r="KE21" s="67"/>
      <c r="KF21" s="67"/>
      <c r="KG21" s="67"/>
      <c r="KH21" s="67"/>
      <c r="KI21" s="67"/>
      <c r="KJ21" s="67"/>
      <c r="KK21" s="67"/>
      <c r="KL21" s="67"/>
      <c r="KM21" s="67"/>
      <c r="KN21" s="67"/>
      <c r="KO21" s="67"/>
      <c r="KP21" s="67"/>
      <c r="KQ21" s="67"/>
      <c r="KR21" s="67"/>
      <c r="KS21" s="67"/>
      <c r="KT21" s="67"/>
      <c r="KU21" s="67"/>
      <c r="KV21" s="68"/>
      <c r="KW21" s="66"/>
      <c r="KX21" s="67"/>
      <c r="KY21" s="67"/>
      <c r="KZ21" s="67"/>
      <c r="LA21" s="67"/>
      <c r="LB21" s="67"/>
      <c r="LC21" s="67"/>
      <c r="LD21" s="67"/>
      <c r="LE21" s="67"/>
      <c r="LF21" s="67"/>
      <c r="LG21" s="67"/>
      <c r="LH21" s="67"/>
      <c r="LI21" s="67"/>
      <c r="LJ21" s="67"/>
      <c r="LK21" s="67"/>
      <c r="LL21" s="67"/>
      <c r="LM21" s="67"/>
      <c r="LN21" s="67"/>
      <c r="LO21" s="67"/>
      <c r="LP21" s="67"/>
      <c r="LQ21" s="67"/>
      <c r="LR21" s="67"/>
      <c r="LS21" s="67"/>
      <c r="LT21" s="67"/>
      <c r="LU21" s="67"/>
      <c r="LV21" s="67"/>
      <c r="LW21" s="67"/>
      <c r="LX21" s="67"/>
      <c r="LY21" s="67"/>
      <c r="LZ21" s="68"/>
      <c r="MA21" s="66"/>
      <c r="MB21" s="67"/>
      <c r="MC21" s="67"/>
      <c r="MD21" s="67"/>
      <c r="ME21" s="67"/>
      <c r="MF21" s="67"/>
      <c r="MG21" s="67"/>
      <c r="MH21" s="67"/>
      <c r="MI21" s="67"/>
      <c r="MJ21" s="67"/>
      <c r="MK21" s="67"/>
      <c r="ML21" s="67"/>
      <c r="MM21" s="67"/>
      <c r="MN21" s="67"/>
      <c r="MO21" s="67"/>
      <c r="MP21" s="67"/>
      <c r="MQ21" s="67"/>
      <c r="MR21" s="67"/>
      <c r="MS21" s="67"/>
      <c r="MT21" s="67"/>
      <c r="MU21" s="67"/>
      <c r="MV21" s="67"/>
      <c r="MW21" s="67"/>
      <c r="MX21" s="67"/>
      <c r="MY21" s="67"/>
      <c r="MZ21" s="67"/>
      <c r="NA21" s="67"/>
      <c r="NB21" s="67"/>
      <c r="NC21" s="67"/>
      <c r="ND21" s="67"/>
      <c r="NE21" s="68"/>
    </row>
    <row r="22" spans="1:369" x14ac:dyDescent="0.25">
      <c r="A22" s="57"/>
      <c r="B22" s="64"/>
      <c r="C22" s="65"/>
      <c r="D22" s="65"/>
      <c r="E22" s="66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8"/>
      <c r="AJ22" s="66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8"/>
      <c r="BL22" s="66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  <c r="CP22" s="68"/>
      <c r="CQ22" s="66"/>
      <c r="CR22" s="67"/>
      <c r="CS22" s="67"/>
      <c r="CT22" s="67"/>
      <c r="CU22" s="67"/>
      <c r="CV22" s="67"/>
      <c r="CW22" s="67"/>
      <c r="CX22" s="67"/>
      <c r="CY22" s="67"/>
      <c r="CZ22" s="67"/>
      <c r="DA22" s="67"/>
      <c r="DB22" s="67"/>
      <c r="DC22" s="67"/>
      <c r="DD22" s="67"/>
      <c r="DE22" s="67"/>
      <c r="DF22" s="67"/>
      <c r="DG22" s="67"/>
      <c r="DH22" s="67"/>
      <c r="DI22" s="67"/>
      <c r="DJ22" s="67"/>
      <c r="DK22" s="67"/>
      <c r="DL22" s="67"/>
      <c r="DM22" s="67"/>
      <c r="DN22" s="67"/>
      <c r="DO22" s="67"/>
      <c r="DP22" s="67"/>
      <c r="DQ22" s="67"/>
      <c r="DR22" s="67"/>
      <c r="DS22" s="67"/>
      <c r="DT22" s="68"/>
      <c r="DU22" s="66"/>
      <c r="DV22" s="67"/>
      <c r="DW22" s="67"/>
      <c r="DX22" s="67"/>
      <c r="DY22" s="67"/>
      <c r="DZ22" s="67"/>
      <c r="EA22" s="67"/>
      <c r="EB22" s="67"/>
      <c r="EC22" s="67"/>
      <c r="ED22" s="67"/>
      <c r="EE22" s="67"/>
      <c r="EF22" s="67"/>
      <c r="EG22" s="67"/>
      <c r="EH22" s="67"/>
      <c r="EI22" s="67"/>
      <c r="EJ22" s="67"/>
      <c r="EK22" s="67"/>
      <c r="EL22" s="67"/>
      <c r="EM22" s="67"/>
      <c r="EN22" s="67"/>
      <c r="EO22" s="67"/>
      <c r="EP22" s="67"/>
      <c r="EQ22" s="67"/>
      <c r="ER22" s="67"/>
      <c r="ES22" s="67"/>
      <c r="ET22" s="67"/>
      <c r="EU22" s="67"/>
      <c r="EV22" s="67"/>
      <c r="EW22" s="67"/>
      <c r="EX22" s="67"/>
      <c r="EY22" s="68"/>
      <c r="EZ22" s="66"/>
      <c r="FA22" s="67"/>
      <c r="FB22" s="67"/>
      <c r="FC22" s="67"/>
      <c r="FD22" s="67"/>
      <c r="FE22" s="67"/>
      <c r="FF22" s="67"/>
      <c r="FG22" s="67"/>
      <c r="FH22" s="67"/>
      <c r="FI22" s="67"/>
      <c r="FJ22" s="67"/>
      <c r="FK22" s="67"/>
      <c r="FL22" s="67"/>
      <c r="FM22" s="67"/>
      <c r="FN22" s="67"/>
      <c r="FO22" s="67"/>
      <c r="FP22" s="67"/>
      <c r="FQ22" s="67"/>
      <c r="FR22" s="67"/>
      <c r="FS22" s="67"/>
      <c r="FT22" s="67"/>
      <c r="FU22" s="67"/>
      <c r="FV22" s="67"/>
      <c r="FW22" s="67"/>
      <c r="FX22" s="67"/>
      <c r="FY22" s="67"/>
      <c r="FZ22" s="67"/>
      <c r="GA22" s="67"/>
      <c r="GB22" s="67"/>
      <c r="GC22" s="68"/>
      <c r="GD22" s="66"/>
      <c r="GE22" s="67"/>
      <c r="GF22" s="67"/>
      <c r="GG22" s="67"/>
      <c r="GH22" s="67"/>
      <c r="GI22" s="67"/>
      <c r="GJ22" s="67"/>
      <c r="GK22" s="67"/>
      <c r="GL22" s="67"/>
      <c r="GM22" s="67"/>
      <c r="GN22" s="67"/>
      <c r="GO22" s="67"/>
      <c r="GP22" s="67"/>
      <c r="GQ22" s="67"/>
      <c r="GR22" s="67"/>
      <c r="GS22" s="67"/>
      <c r="GT22" s="67"/>
      <c r="GU22" s="67"/>
      <c r="GV22" s="67"/>
      <c r="GW22" s="67"/>
      <c r="GX22" s="67"/>
      <c r="GY22" s="67"/>
      <c r="GZ22" s="67"/>
      <c r="HA22" s="67"/>
      <c r="HB22" s="67"/>
      <c r="HC22" s="67"/>
      <c r="HD22" s="67"/>
      <c r="HE22" s="67"/>
      <c r="HF22" s="67"/>
      <c r="HG22" s="67"/>
      <c r="HH22" s="68"/>
      <c r="HI22" s="66"/>
      <c r="HJ22" s="67"/>
      <c r="HK22" s="67"/>
      <c r="HL22" s="67"/>
      <c r="HM22" s="67"/>
      <c r="HN22" s="67"/>
      <c r="HO22" s="67"/>
      <c r="HP22" s="67"/>
      <c r="HQ22" s="67"/>
      <c r="HR22" s="67"/>
      <c r="HS22" s="67"/>
      <c r="HT22" s="67"/>
      <c r="HU22" s="67"/>
      <c r="HV22" s="67"/>
      <c r="HW22" s="67"/>
      <c r="HX22" s="67"/>
      <c r="HY22" s="67"/>
      <c r="HZ22" s="67"/>
      <c r="IA22" s="67"/>
      <c r="IB22" s="67"/>
      <c r="IC22" s="67"/>
      <c r="ID22" s="67"/>
      <c r="IE22" s="67"/>
      <c r="IF22" s="67"/>
      <c r="IG22" s="67"/>
      <c r="IH22" s="67"/>
      <c r="II22" s="67"/>
      <c r="IJ22" s="67"/>
      <c r="IK22" s="67"/>
      <c r="IL22" s="67"/>
      <c r="IM22" s="68"/>
      <c r="IN22" s="66"/>
      <c r="IO22" s="67"/>
      <c r="IP22" s="67"/>
      <c r="IQ22" s="67"/>
      <c r="IR22" s="67"/>
      <c r="IS22" s="67"/>
      <c r="IT22" s="67"/>
      <c r="IU22" s="67"/>
      <c r="IV22" s="67"/>
      <c r="IW22" s="67"/>
      <c r="IX22" s="67"/>
      <c r="IY22" s="67"/>
      <c r="IZ22" s="67"/>
      <c r="JA22" s="67"/>
      <c r="JB22" s="67"/>
      <c r="JC22" s="67"/>
      <c r="JD22" s="67"/>
      <c r="JE22" s="67"/>
      <c r="JF22" s="67"/>
      <c r="JG22" s="67"/>
      <c r="JH22" s="67"/>
      <c r="JI22" s="67"/>
      <c r="JJ22" s="67"/>
      <c r="JK22" s="67"/>
      <c r="JL22" s="67"/>
      <c r="JM22" s="67"/>
      <c r="JN22" s="67"/>
      <c r="JO22" s="67"/>
      <c r="JP22" s="67"/>
      <c r="JQ22" s="68"/>
      <c r="JR22" s="66"/>
      <c r="JS22" s="67"/>
      <c r="JT22" s="67"/>
      <c r="JU22" s="67"/>
      <c r="JV22" s="67"/>
      <c r="JW22" s="67"/>
      <c r="JX22" s="67"/>
      <c r="JY22" s="67"/>
      <c r="JZ22" s="67"/>
      <c r="KA22" s="67"/>
      <c r="KB22" s="67"/>
      <c r="KC22" s="67"/>
      <c r="KD22" s="67"/>
      <c r="KE22" s="67"/>
      <c r="KF22" s="67"/>
      <c r="KG22" s="67"/>
      <c r="KH22" s="67"/>
      <c r="KI22" s="67"/>
      <c r="KJ22" s="67"/>
      <c r="KK22" s="67"/>
      <c r="KL22" s="67"/>
      <c r="KM22" s="67"/>
      <c r="KN22" s="67"/>
      <c r="KO22" s="67"/>
      <c r="KP22" s="67"/>
      <c r="KQ22" s="67"/>
      <c r="KR22" s="67"/>
      <c r="KS22" s="67"/>
      <c r="KT22" s="67"/>
      <c r="KU22" s="67"/>
      <c r="KV22" s="68"/>
      <c r="KW22" s="66"/>
      <c r="KX22" s="67"/>
      <c r="KY22" s="67"/>
      <c r="KZ22" s="67"/>
      <c r="LA22" s="67"/>
      <c r="LB22" s="67"/>
      <c r="LC22" s="67"/>
      <c r="LD22" s="67"/>
      <c r="LE22" s="67"/>
      <c r="LF22" s="67"/>
      <c r="LG22" s="67"/>
      <c r="LH22" s="67"/>
      <c r="LI22" s="67"/>
      <c r="LJ22" s="67"/>
      <c r="LK22" s="67"/>
      <c r="LL22" s="67"/>
      <c r="LM22" s="67"/>
      <c r="LN22" s="67"/>
      <c r="LO22" s="67"/>
      <c r="LP22" s="67"/>
      <c r="LQ22" s="67"/>
      <c r="LR22" s="67"/>
      <c r="LS22" s="67"/>
      <c r="LT22" s="67"/>
      <c r="LU22" s="67"/>
      <c r="LV22" s="67"/>
      <c r="LW22" s="67"/>
      <c r="LX22" s="67"/>
      <c r="LY22" s="67"/>
      <c r="LZ22" s="68"/>
      <c r="MA22" s="66"/>
      <c r="MB22" s="67"/>
      <c r="MC22" s="67"/>
      <c r="MD22" s="67"/>
      <c r="ME22" s="67"/>
      <c r="MF22" s="67"/>
      <c r="MG22" s="67"/>
      <c r="MH22" s="67"/>
      <c r="MI22" s="67"/>
      <c r="MJ22" s="67"/>
      <c r="MK22" s="67"/>
      <c r="ML22" s="67"/>
      <c r="MM22" s="67"/>
      <c r="MN22" s="67"/>
      <c r="MO22" s="67"/>
      <c r="MP22" s="67"/>
      <c r="MQ22" s="67"/>
      <c r="MR22" s="67"/>
      <c r="MS22" s="67"/>
      <c r="MT22" s="67"/>
      <c r="MU22" s="67"/>
      <c r="MV22" s="67"/>
      <c r="MW22" s="67"/>
      <c r="MX22" s="67"/>
      <c r="MY22" s="67"/>
      <c r="MZ22" s="67"/>
      <c r="NA22" s="67"/>
      <c r="NB22" s="67"/>
      <c r="NC22" s="67"/>
      <c r="ND22" s="67"/>
      <c r="NE22" s="68"/>
    </row>
    <row r="23" spans="1:369" x14ac:dyDescent="0.25">
      <c r="A23" s="63"/>
      <c r="B23" s="64"/>
      <c r="C23" s="65"/>
      <c r="D23" s="65"/>
      <c r="E23" s="66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8"/>
      <c r="AJ23" s="66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8"/>
      <c r="BL23" s="66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7"/>
      <c r="CA23" s="67"/>
      <c r="CB23" s="67"/>
      <c r="CC23" s="67"/>
      <c r="CD23" s="67"/>
      <c r="CE23" s="67"/>
      <c r="CF23" s="67"/>
      <c r="CG23" s="67"/>
      <c r="CH23" s="67"/>
      <c r="CI23" s="67"/>
      <c r="CJ23" s="67"/>
      <c r="CK23" s="67"/>
      <c r="CL23" s="67"/>
      <c r="CM23" s="67"/>
      <c r="CN23" s="67"/>
      <c r="CO23" s="67"/>
      <c r="CP23" s="68"/>
      <c r="CQ23" s="66"/>
      <c r="CR23" s="67"/>
      <c r="CS23" s="67"/>
      <c r="CT23" s="67"/>
      <c r="CU23" s="67"/>
      <c r="CV23" s="67"/>
      <c r="CW23" s="67"/>
      <c r="CX23" s="67"/>
      <c r="CY23" s="67"/>
      <c r="CZ23" s="67"/>
      <c r="DA23" s="67"/>
      <c r="DB23" s="67"/>
      <c r="DC23" s="67"/>
      <c r="DD23" s="67"/>
      <c r="DE23" s="67"/>
      <c r="DF23" s="67"/>
      <c r="DG23" s="67"/>
      <c r="DH23" s="67"/>
      <c r="DI23" s="67"/>
      <c r="DJ23" s="67"/>
      <c r="DK23" s="67"/>
      <c r="DL23" s="67"/>
      <c r="DM23" s="67"/>
      <c r="DN23" s="67"/>
      <c r="DO23" s="67"/>
      <c r="DP23" s="67"/>
      <c r="DQ23" s="67"/>
      <c r="DR23" s="67"/>
      <c r="DS23" s="67"/>
      <c r="DT23" s="68"/>
      <c r="DU23" s="66"/>
      <c r="DV23" s="67"/>
      <c r="DW23" s="67"/>
      <c r="DX23" s="67"/>
      <c r="DY23" s="67"/>
      <c r="DZ23" s="67"/>
      <c r="EA23" s="67"/>
      <c r="EB23" s="67"/>
      <c r="EC23" s="67"/>
      <c r="ED23" s="67"/>
      <c r="EE23" s="67"/>
      <c r="EF23" s="67"/>
      <c r="EG23" s="67"/>
      <c r="EH23" s="67"/>
      <c r="EI23" s="67"/>
      <c r="EJ23" s="67"/>
      <c r="EK23" s="67"/>
      <c r="EL23" s="67"/>
      <c r="EM23" s="67"/>
      <c r="EN23" s="67"/>
      <c r="EO23" s="67"/>
      <c r="EP23" s="67"/>
      <c r="EQ23" s="67"/>
      <c r="ER23" s="67"/>
      <c r="ES23" s="67"/>
      <c r="ET23" s="67"/>
      <c r="EU23" s="67"/>
      <c r="EV23" s="67"/>
      <c r="EW23" s="67"/>
      <c r="EX23" s="67"/>
      <c r="EY23" s="68"/>
      <c r="EZ23" s="66"/>
      <c r="FA23" s="67"/>
      <c r="FB23" s="67"/>
      <c r="FC23" s="67"/>
      <c r="FD23" s="67"/>
      <c r="FE23" s="67"/>
      <c r="FF23" s="67"/>
      <c r="FG23" s="67"/>
      <c r="FH23" s="67"/>
      <c r="FI23" s="67"/>
      <c r="FJ23" s="67"/>
      <c r="FK23" s="67"/>
      <c r="FL23" s="67"/>
      <c r="FM23" s="67"/>
      <c r="FN23" s="67"/>
      <c r="FO23" s="67"/>
      <c r="FP23" s="67"/>
      <c r="FQ23" s="67"/>
      <c r="FR23" s="67"/>
      <c r="FS23" s="67"/>
      <c r="FT23" s="67"/>
      <c r="FU23" s="67"/>
      <c r="FV23" s="67"/>
      <c r="FW23" s="67"/>
      <c r="FX23" s="67"/>
      <c r="FY23" s="67"/>
      <c r="FZ23" s="67"/>
      <c r="GA23" s="67"/>
      <c r="GB23" s="67"/>
      <c r="GC23" s="68"/>
      <c r="GD23" s="66"/>
      <c r="GE23" s="67"/>
      <c r="GF23" s="67"/>
      <c r="GG23" s="67"/>
      <c r="GH23" s="67"/>
      <c r="GI23" s="67"/>
      <c r="GJ23" s="67"/>
      <c r="GK23" s="67"/>
      <c r="GL23" s="67"/>
      <c r="GM23" s="67"/>
      <c r="GN23" s="67"/>
      <c r="GO23" s="67"/>
      <c r="GP23" s="67"/>
      <c r="GQ23" s="67"/>
      <c r="GR23" s="67"/>
      <c r="GS23" s="67"/>
      <c r="GT23" s="67"/>
      <c r="GU23" s="67"/>
      <c r="GV23" s="67"/>
      <c r="GW23" s="67"/>
      <c r="GX23" s="67"/>
      <c r="GY23" s="67"/>
      <c r="GZ23" s="67"/>
      <c r="HA23" s="67"/>
      <c r="HB23" s="67"/>
      <c r="HC23" s="67"/>
      <c r="HD23" s="67"/>
      <c r="HE23" s="67"/>
      <c r="HF23" s="67"/>
      <c r="HG23" s="67"/>
      <c r="HH23" s="68"/>
      <c r="HI23" s="66"/>
      <c r="HJ23" s="67"/>
      <c r="HK23" s="67"/>
      <c r="HL23" s="67"/>
      <c r="HM23" s="67"/>
      <c r="HN23" s="67"/>
      <c r="HO23" s="67"/>
      <c r="HP23" s="67"/>
      <c r="HQ23" s="67"/>
      <c r="HR23" s="67"/>
      <c r="HS23" s="67"/>
      <c r="HT23" s="67"/>
      <c r="HU23" s="67"/>
      <c r="HV23" s="67"/>
      <c r="HW23" s="67"/>
      <c r="HX23" s="67"/>
      <c r="HY23" s="67"/>
      <c r="HZ23" s="67"/>
      <c r="IA23" s="67"/>
      <c r="IB23" s="67"/>
      <c r="IC23" s="67"/>
      <c r="ID23" s="67"/>
      <c r="IE23" s="67"/>
      <c r="IF23" s="67"/>
      <c r="IG23" s="67"/>
      <c r="IH23" s="67"/>
      <c r="II23" s="67"/>
      <c r="IJ23" s="67"/>
      <c r="IK23" s="67"/>
      <c r="IL23" s="67"/>
      <c r="IM23" s="68"/>
      <c r="IN23" s="66"/>
      <c r="IO23" s="67"/>
      <c r="IP23" s="67"/>
      <c r="IQ23" s="67"/>
      <c r="IR23" s="67"/>
      <c r="IS23" s="67"/>
      <c r="IT23" s="67"/>
      <c r="IU23" s="67"/>
      <c r="IV23" s="67"/>
      <c r="IW23" s="67"/>
      <c r="IX23" s="67"/>
      <c r="IY23" s="67"/>
      <c r="IZ23" s="67"/>
      <c r="JA23" s="67"/>
      <c r="JB23" s="67"/>
      <c r="JC23" s="67"/>
      <c r="JD23" s="67"/>
      <c r="JE23" s="67"/>
      <c r="JF23" s="67"/>
      <c r="JG23" s="67"/>
      <c r="JH23" s="67"/>
      <c r="JI23" s="67"/>
      <c r="JJ23" s="67"/>
      <c r="JK23" s="67"/>
      <c r="JL23" s="67"/>
      <c r="JM23" s="67"/>
      <c r="JN23" s="67"/>
      <c r="JO23" s="67"/>
      <c r="JP23" s="67"/>
      <c r="JQ23" s="68"/>
      <c r="JR23" s="66"/>
      <c r="JS23" s="67"/>
      <c r="JT23" s="67"/>
      <c r="JU23" s="67"/>
      <c r="JV23" s="67"/>
      <c r="JW23" s="67"/>
      <c r="JX23" s="67"/>
      <c r="JY23" s="67"/>
      <c r="JZ23" s="67"/>
      <c r="KA23" s="67"/>
      <c r="KB23" s="67"/>
      <c r="KC23" s="67"/>
      <c r="KD23" s="67"/>
      <c r="KE23" s="67"/>
      <c r="KF23" s="67"/>
      <c r="KG23" s="67"/>
      <c r="KH23" s="67"/>
      <c r="KI23" s="67"/>
      <c r="KJ23" s="67"/>
      <c r="KK23" s="67"/>
      <c r="KL23" s="67"/>
      <c r="KM23" s="67"/>
      <c r="KN23" s="67"/>
      <c r="KO23" s="67"/>
      <c r="KP23" s="67"/>
      <c r="KQ23" s="67"/>
      <c r="KR23" s="67"/>
      <c r="KS23" s="67"/>
      <c r="KT23" s="67"/>
      <c r="KU23" s="67"/>
      <c r="KV23" s="68"/>
      <c r="KW23" s="66"/>
      <c r="KX23" s="67"/>
      <c r="KY23" s="67"/>
      <c r="KZ23" s="67"/>
      <c r="LA23" s="67"/>
      <c r="LB23" s="67"/>
      <c r="LC23" s="67"/>
      <c r="LD23" s="67"/>
      <c r="LE23" s="67"/>
      <c r="LF23" s="67"/>
      <c r="LG23" s="67"/>
      <c r="LH23" s="67"/>
      <c r="LI23" s="67"/>
      <c r="LJ23" s="67"/>
      <c r="LK23" s="67"/>
      <c r="LL23" s="67"/>
      <c r="LM23" s="67"/>
      <c r="LN23" s="67"/>
      <c r="LO23" s="67"/>
      <c r="LP23" s="67"/>
      <c r="LQ23" s="67"/>
      <c r="LR23" s="67"/>
      <c r="LS23" s="67"/>
      <c r="LT23" s="67"/>
      <c r="LU23" s="67"/>
      <c r="LV23" s="67"/>
      <c r="LW23" s="67"/>
      <c r="LX23" s="67"/>
      <c r="LY23" s="67"/>
      <c r="LZ23" s="68"/>
      <c r="MA23" s="66"/>
      <c r="MB23" s="67"/>
      <c r="MC23" s="67"/>
      <c r="MD23" s="67"/>
      <c r="ME23" s="67"/>
      <c r="MF23" s="67"/>
      <c r="MG23" s="67"/>
      <c r="MH23" s="67"/>
      <c r="MI23" s="67"/>
      <c r="MJ23" s="67"/>
      <c r="MK23" s="67"/>
      <c r="ML23" s="67"/>
      <c r="MM23" s="67"/>
      <c r="MN23" s="67"/>
      <c r="MO23" s="67"/>
      <c r="MP23" s="67"/>
      <c r="MQ23" s="67"/>
      <c r="MR23" s="67"/>
      <c r="MS23" s="67"/>
      <c r="MT23" s="67"/>
      <c r="MU23" s="67"/>
      <c r="MV23" s="67"/>
      <c r="MW23" s="67"/>
      <c r="MX23" s="67"/>
      <c r="MY23" s="67"/>
      <c r="MZ23" s="67"/>
      <c r="NA23" s="67"/>
      <c r="NB23" s="67"/>
      <c r="NC23" s="67"/>
      <c r="ND23" s="67"/>
      <c r="NE23" s="68"/>
    </row>
    <row r="24" spans="1:369" x14ac:dyDescent="0.25">
      <c r="A24" s="57"/>
      <c r="B24" s="64"/>
      <c r="C24" s="65"/>
      <c r="D24" s="65"/>
      <c r="E24" s="66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8"/>
      <c r="AJ24" s="66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8"/>
      <c r="BL24" s="66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7"/>
      <c r="CA24" s="67"/>
      <c r="CB24" s="67"/>
      <c r="CC24" s="67"/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67"/>
      <c r="CP24" s="68"/>
      <c r="CQ24" s="66"/>
      <c r="CR24" s="67"/>
      <c r="CS24" s="67"/>
      <c r="CT24" s="67"/>
      <c r="CU24" s="67"/>
      <c r="CV24" s="67"/>
      <c r="CW24" s="67"/>
      <c r="CX24" s="67"/>
      <c r="CY24" s="67"/>
      <c r="CZ24" s="67"/>
      <c r="DA24" s="67"/>
      <c r="DB24" s="67"/>
      <c r="DC24" s="67"/>
      <c r="DD24" s="67"/>
      <c r="DE24" s="67"/>
      <c r="DF24" s="67"/>
      <c r="DG24" s="67"/>
      <c r="DH24" s="67"/>
      <c r="DI24" s="67"/>
      <c r="DJ24" s="67"/>
      <c r="DK24" s="67"/>
      <c r="DL24" s="67"/>
      <c r="DM24" s="67"/>
      <c r="DN24" s="67"/>
      <c r="DO24" s="67"/>
      <c r="DP24" s="67"/>
      <c r="DQ24" s="67"/>
      <c r="DR24" s="67"/>
      <c r="DS24" s="67"/>
      <c r="DT24" s="68"/>
      <c r="DU24" s="66"/>
      <c r="DV24" s="67"/>
      <c r="DW24" s="67"/>
      <c r="DX24" s="67"/>
      <c r="DY24" s="67"/>
      <c r="DZ24" s="67"/>
      <c r="EA24" s="67"/>
      <c r="EB24" s="67"/>
      <c r="EC24" s="67"/>
      <c r="ED24" s="67"/>
      <c r="EE24" s="67"/>
      <c r="EF24" s="67"/>
      <c r="EG24" s="67"/>
      <c r="EH24" s="67"/>
      <c r="EI24" s="67"/>
      <c r="EJ24" s="67"/>
      <c r="EK24" s="67"/>
      <c r="EL24" s="67"/>
      <c r="EM24" s="67"/>
      <c r="EN24" s="67"/>
      <c r="EO24" s="67"/>
      <c r="EP24" s="67"/>
      <c r="EQ24" s="67"/>
      <c r="ER24" s="67"/>
      <c r="ES24" s="67"/>
      <c r="ET24" s="67"/>
      <c r="EU24" s="67"/>
      <c r="EV24" s="67"/>
      <c r="EW24" s="67"/>
      <c r="EX24" s="67"/>
      <c r="EY24" s="68"/>
      <c r="EZ24" s="66"/>
      <c r="FA24" s="67"/>
      <c r="FB24" s="67"/>
      <c r="FC24" s="67"/>
      <c r="FD24" s="67"/>
      <c r="FE24" s="67"/>
      <c r="FF24" s="67"/>
      <c r="FG24" s="67"/>
      <c r="FH24" s="67"/>
      <c r="FI24" s="67"/>
      <c r="FJ24" s="67"/>
      <c r="FK24" s="67"/>
      <c r="FL24" s="67"/>
      <c r="FM24" s="67"/>
      <c r="FN24" s="67"/>
      <c r="FO24" s="67"/>
      <c r="FP24" s="67"/>
      <c r="FQ24" s="67"/>
      <c r="FR24" s="67"/>
      <c r="FS24" s="67"/>
      <c r="FT24" s="67"/>
      <c r="FU24" s="67"/>
      <c r="FV24" s="67"/>
      <c r="FW24" s="67"/>
      <c r="FX24" s="67"/>
      <c r="FY24" s="67"/>
      <c r="FZ24" s="67"/>
      <c r="GA24" s="67"/>
      <c r="GB24" s="67"/>
      <c r="GC24" s="68"/>
      <c r="GD24" s="66"/>
      <c r="GE24" s="67"/>
      <c r="GF24" s="67"/>
      <c r="GG24" s="67"/>
      <c r="GH24" s="67"/>
      <c r="GI24" s="67"/>
      <c r="GJ24" s="67"/>
      <c r="GK24" s="67"/>
      <c r="GL24" s="67"/>
      <c r="GM24" s="67"/>
      <c r="GN24" s="67"/>
      <c r="GO24" s="67"/>
      <c r="GP24" s="67"/>
      <c r="GQ24" s="67"/>
      <c r="GR24" s="67"/>
      <c r="GS24" s="67"/>
      <c r="GT24" s="67"/>
      <c r="GU24" s="67"/>
      <c r="GV24" s="67"/>
      <c r="GW24" s="67"/>
      <c r="GX24" s="67"/>
      <c r="GY24" s="67"/>
      <c r="GZ24" s="67"/>
      <c r="HA24" s="67"/>
      <c r="HB24" s="67"/>
      <c r="HC24" s="67"/>
      <c r="HD24" s="67"/>
      <c r="HE24" s="67"/>
      <c r="HF24" s="67"/>
      <c r="HG24" s="67"/>
      <c r="HH24" s="68"/>
      <c r="HI24" s="66"/>
      <c r="HJ24" s="67"/>
      <c r="HK24" s="67"/>
      <c r="HL24" s="67"/>
      <c r="HM24" s="67"/>
      <c r="HN24" s="67"/>
      <c r="HO24" s="67"/>
      <c r="HP24" s="67"/>
      <c r="HQ24" s="67"/>
      <c r="HR24" s="67"/>
      <c r="HS24" s="67"/>
      <c r="HT24" s="67"/>
      <c r="HU24" s="67"/>
      <c r="HV24" s="67"/>
      <c r="HW24" s="67"/>
      <c r="HX24" s="67"/>
      <c r="HY24" s="67"/>
      <c r="HZ24" s="67"/>
      <c r="IA24" s="67"/>
      <c r="IB24" s="67"/>
      <c r="IC24" s="67"/>
      <c r="ID24" s="67"/>
      <c r="IE24" s="67"/>
      <c r="IF24" s="67"/>
      <c r="IG24" s="67"/>
      <c r="IH24" s="67"/>
      <c r="II24" s="67"/>
      <c r="IJ24" s="67"/>
      <c r="IK24" s="67"/>
      <c r="IL24" s="67"/>
      <c r="IM24" s="68"/>
      <c r="IN24" s="66"/>
      <c r="IO24" s="67"/>
      <c r="IP24" s="67"/>
      <c r="IQ24" s="67"/>
      <c r="IR24" s="67"/>
      <c r="IS24" s="67"/>
      <c r="IT24" s="67"/>
      <c r="IU24" s="67"/>
      <c r="IV24" s="67"/>
      <c r="IW24" s="67"/>
      <c r="IX24" s="67"/>
      <c r="IY24" s="67"/>
      <c r="IZ24" s="67"/>
      <c r="JA24" s="67"/>
      <c r="JB24" s="67"/>
      <c r="JC24" s="67"/>
      <c r="JD24" s="67"/>
      <c r="JE24" s="67"/>
      <c r="JF24" s="67"/>
      <c r="JG24" s="67"/>
      <c r="JH24" s="67"/>
      <c r="JI24" s="67"/>
      <c r="JJ24" s="67"/>
      <c r="JK24" s="67"/>
      <c r="JL24" s="67"/>
      <c r="JM24" s="67"/>
      <c r="JN24" s="67"/>
      <c r="JO24" s="67"/>
      <c r="JP24" s="67"/>
      <c r="JQ24" s="68"/>
      <c r="JR24" s="66"/>
      <c r="JS24" s="67"/>
      <c r="JT24" s="67"/>
      <c r="JU24" s="67"/>
      <c r="JV24" s="67"/>
      <c r="JW24" s="67"/>
      <c r="JX24" s="67"/>
      <c r="JY24" s="67"/>
      <c r="JZ24" s="67"/>
      <c r="KA24" s="67"/>
      <c r="KB24" s="67"/>
      <c r="KC24" s="67"/>
      <c r="KD24" s="67"/>
      <c r="KE24" s="67"/>
      <c r="KF24" s="67"/>
      <c r="KG24" s="67"/>
      <c r="KH24" s="67"/>
      <c r="KI24" s="67"/>
      <c r="KJ24" s="67"/>
      <c r="KK24" s="67"/>
      <c r="KL24" s="67"/>
      <c r="KM24" s="67"/>
      <c r="KN24" s="67"/>
      <c r="KO24" s="67"/>
      <c r="KP24" s="67"/>
      <c r="KQ24" s="67"/>
      <c r="KR24" s="67"/>
      <c r="KS24" s="67"/>
      <c r="KT24" s="67"/>
      <c r="KU24" s="67"/>
      <c r="KV24" s="68"/>
      <c r="KW24" s="66"/>
      <c r="KX24" s="67"/>
      <c r="KY24" s="67"/>
      <c r="KZ24" s="67"/>
      <c r="LA24" s="67"/>
      <c r="LB24" s="67"/>
      <c r="LC24" s="67"/>
      <c r="LD24" s="67"/>
      <c r="LE24" s="67"/>
      <c r="LF24" s="67"/>
      <c r="LG24" s="67"/>
      <c r="LH24" s="67"/>
      <c r="LI24" s="67"/>
      <c r="LJ24" s="67"/>
      <c r="LK24" s="67"/>
      <c r="LL24" s="67"/>
      <c r="LM24" s="67"/>
      <c r="LN24" s="67"/>
      <c r="LO24" s="67"/>
      <c r="LP24" s="67"/>
      <c r="LQ24" s="67"/>
      <c r="LR24" s="67"/>
      <c r="LS24" s="67"/>
      <c r="LT24" s="67"/>
      <c r="LU24" s="67"/>
      <c r="LV24" s="67"/>
      <c r="LW24" s="67"/>
      <c r="LX24" s="67"/>
      <c r="LY24" s="67"/>
      <c r="LZ24" s="68"/>
      <c r="MA24" s="66"/>
      <c r="MB24" s="67"/>
      <c r="MC24" s="67"/>
      <c r="MD24" s="67"/>
      <c r="ME24" s="67"/>
      <c r="MF24" s="67"/>
      <c r="MG24" s="67"/>
      <c r="MH24" s="67"/>
      <c r="MI24" s="67"/>
      <c r="MJ24" s="67"/>
      <c r="MK24" s="67"/>
      <c r="ML24" s="67"/>
      <c r="MM24" s="67"/>
      <c r="MN24" s="67"/>
      <c r="MO24" s="67"/>
      <c r="MP24" s="67"/>
      <c r="MQ24" s="67"/>
      <c r="MR24" s="67"/>
      <c r="MS24" s="67"/>
      <c r="MT24" s="67"/>
      <c r="MU24" s="67"/>
      <c r="MV24" s="67"/>
      <c r="MW24" s="67"/>
      <c r="MX24" s="67"/>
      <c r="MY24" s="67"/>
      <c r="MZ24" s="67"/>
      <c r="NA24" s="67"/>
      <c r="NB24" s="67"/>
      <c r="NC24" s="67"/>
      <c r="ND24" s="67"/>
      <c r="NE24" s="68"/>
    </row>
    <row r="25" spans="1:369" x14ac:dyDescent="0.25">
      <c r="A25" s="63"/>
      <c r="B25" s="64"/>
      <c r="C25" s="65"/>
      <c r="D25" s="65"/>
      <c r="E25" s="66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8"/>
      <c r="AJ25" s="66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8"/>
      <c r="BL25" s="66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8"/>
      <c r="CQ25" s="66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  <c r="DN25" s="67"/>
      <c r="DO25" s="67"/>
      <c r="DP25" s="67"/>
      <c r="DQ25" s="67"/>
      <c r="DR25" s="67"/>
      <c r="DS25" s="67"/>
      <c r="DT25" s="68"/>
      <c r="DU25" s="66"/>
      <c r="DV25" s="67"/>
      <c r="DW25" s="67"/>
      <c r="DX25" s="67"/>
      <c r="DY25" s="67"/>
      <c r="DZ25" s="67"/>
      <c r="EA25" s="67"/>
      <c r="EB25" s="67"/>
      <c r="EC25" s="67"/>
      <c r="ED25" s="67"/>
      <c r="EE25" s="67"/>
      <c r="EF25" s="67"/>
      <c r="EG25" s="67"/>
      <c r="EH25" s="67"/>
      <c r="EI25" s="67"/>
      <c r="EJ25" s="67"/>
      <c r="EK25" s="67"/>
      <c r="EL25" s="67"/>
      <c r="EM25" s="67"/>
      <c r="EN25" s="67"/>
      <c r="EO25" s="67"/>
      <c r="EP25" s="67"/>
      <c r="EQ25" s="67"/>
      <c r="ER25" s="67"/>
      <c r="ES25" s="67"/>
      <c r="ET25" s="67"/>
      <c r="EU25" s="67"/>
      <c r="EV25" s="67"/>
      <c r="EW25" s="67"/>
      <c r="EX25" s="67"/>
      <c r="EY25" s="68"/>
      <c r="EZ25" s="66"/>
      <c r="FA25" s="67"/>
      <c r="FB25" s="67"/>
      <c r="FC25" s="67"/>
      <c r="FD25" s="67"/>
      <c r="FE25" s="67"/>
      <c r="FF25" s="67"/>
      <c r="FG25" s="67"/>
      <c r="FH25" s="67"/>
      <c r="FI25" s="67"/>
      <c r="FJ25" s="67"/>
      <c r="FK25" s="67"/>
      <c r="FL25" s="67"/>
      <c r="FM25" s="67"/>
      <c r="FN25" s="67"/>
      <c r="FO25" s="67"/>
      <c r="FP25" s="67"/>
      <c r="FQ25" s="67"/>
      <c r="FR25" s="67"/>
      <c r="FS25" s="67"/>
      <c r="FT25" s="67"/>
      <c r="FU25" s="67"/>
      <c r="FV25" s="67"/>
      <c r="FW25" s="67"/>
      <c r="FX25" s="67"/>
      <c r="FY25" s="67"/>
      <c r="FZ25" s="67"/>
      <c r="GA25" s="67"/>
      <c r="GB25" s="67"/>
      <c r="GC25" s="68"/>
      <c r="GD25" s="66"/>
      <c r="GE25" s="67"/>
      <c r="GF25" s="67"/>
      <c r="GG25" s="67"/>
      <c r="GH25" s="67"/>
      <c r="GI25" s="67"/>
      <c r="GJ25" s="67"/>
      <c r="GK25" s="67"/>
      <c r="GL25" s="67"/>
      <c r="GM25" s="67"/>
      <c r="GN25" s="67"/>
      <c r="GO25" s="67"/>
      <c r="GP25" s="67"/>
      <c r="GQ25" s="67"/>
      <c r="GR25" s="67"/>
      <c r="GS25" s="67"/>
      <c r="GT25" s="67"/>
      <c r="GU25" s="67"/>
      <c r="GV25" s="67"/>
      <c r="GW25" s="67"/>
      <c r="GX25" s="67"/>
      <c r="GY25" s="67"/>
      <c r="GZ25" s="67"/>
      <c r="HA25" s="67"/>
      <c r="HB25" s="67"/>
      <c r="HC25" s="67"/>
      <c r="HD25" s="67"/>
      <c r="HE25" s="67"/>
      <c r="HF25" s="67"/>
      <c r="HG25" s="67"/>
      <c r="HH25" s="68"/>
      <c r="HI25" s="66"/>
      <c r="HJ25" s="67"/>
      <c r="HK25" s="67"/>
      <c r="HL25" s="67"/>
      <c r="HM25" s="67"/>
      <c r="HN25" s="67"/>
      <c r="HO25" s="67"/>
      <c r="HP25" s="67"/>
      <c r="HQ25" s="67"/>
      <c r="HR25" s="67"/>
      <c r="HS25" s="67"/>
      <c r="HT25" s="67"/>
      <c r="HU25" s="67"/>
      <c r="HV25" s="67"/>
      <c r="HW25" s="67"/>
      <c r="HX25" s="67"/>
      <c r="HY25" s="67"/>
      <c r="HZ25" s="67"/>
      <c r="IA25" s="67"/>
      <c r="IB25" s="67"/>
      <c r="IC25" s="67"/>
      <c r="ID25" s="67"/>
      <c r="IE25" s="67"/>
      <c r="IF25" s="67"/>
      <c r="IG25" s="67"/>
      <c r="IH25" s="67"/>
      <c r="II25" s="67"/>
      <c r="IJ25" s="67"/>
      <c r="IK25" s="67"/>
      <c r="IL25" s="67"/>
      <c r="IM25" s="68"/>
      <c r="IN25" s="66"/>
      <c r="IO25" s="67"/>
      <c r="IP25" s="67"/>
      <c r="IQ25" s="67"/>
      <c r="IR25" s="67"/>
      <c r="IS25" s="67"/>
      <c r="IT25" s="67"/>
      <c r="IU25" s="67"/>
      <c r="IV25" s="67"/>
      <c r="IW25" s="67"/>
      <c r="IX25" s="67"/>
      <c r="IY25" s="67"/>
      <c r="IZ25" s="67"/>
      <c r="JA25" s="67"/>
      <c r="JB25" s="67"/>
      <c r="JC25" s="67"/>
      <c r="JD25" s="67"/>
      <c r="JE25" s="67"/>
      <c r="JF25" s="67"/>
      <c r="JG25" s="67"/>
      <c r="JH25" s="67"/>
      <c r="JI25" s="67"/>
      <c r="JJ25" s="67"/>
      <c r="JK25" s="67"/>
      <c r="JL25" s="67"/>
      <c r="JM25" s="67"/>
      <c r="JN25" s="67"/>
      <c r="JO25" s="67"/>
      <c r="JP25" s="67"/>
      <c r="JQ25" s="68"/>
      <c r="JR25" s="66"/>
      <c r="JS25" s="67"/>
      <c r="JT25" s="67"/>
      <c r="JU25" s="67"/>
      <c r="JV25" s="67"/>
      <c r="JW25" s="67"/>
      <c r="JX25" s="67"/>
      <c r="JY25" s="67"/>
      <c r="JZ25" s="67"/>
      <c r="KA25" s="67"/>
      <c r="KB25" s="67"/>
      <c r="KC25" s="67"/>
      <c r="KD25" s="67"/>
      <c r="KE25" s="67"/>
      <c r="KF25" s="67"/>
      <c r="KG25" s="67"/>
      <c r="KH25" s="67"/>
      <c r="KI25" s="67"/>
      <c r="KJ25" s="67"/>
      <c r="KK25" s="67"/>
      <c r="KL25" s="67"/>
      <c r="KM25" s="67"/>
      <c r="KN25" s="67"/>
      <c r="KO25" s="67"/>
      <c r="KP25" s="67"/>
      <c r="KQ25" s="67"/>
      <c r="KR25" s="67"/>
      <c r="KS25" s="67"/>
      <c r="KT25" s="67"/>
      <c r="KU25" s="67"/>
      <c r="KV25" s="68"/>
      <c r="KW25" s="66"/>
      <c r="KX25" s="67"/>
      <c r="KY25" s="67"/>
      <c r="KZ25" s="67"/>
      <c r="LA25" s="67"/>
      <c r="LB25" s="67"/>
      <c r="LC25" s="67"/>
      <c r="LD25" s="67"/>
      <c r="LE25" s="67"/>
      <c r="LF25" s="67"/>
      <c r="LG25" s="67"/>
      <c r="LH25" s="67"/>
      <c r="LI25" s="67"/>
      <c r="LJ25" s="67"/>
      <c r="LK25" s="67"/>
      <c r="LL25" s="67"/>
      <c r="LM25" s="67"/>
      <c r="LN25" s="67"/>
      <c r="LO25" s="67"/>
      <c r="LP25" s="67"/>
      <c r="LQ25" s="67"/>
      <c r="LR25" s="67"/>
      <c r="LS25" s="67"/>
      <c r="LT25" s="67"/>
      <c r="LU25" s="67"/>
      <c r="LV25" s="67"/>
      <c r="LW25" s="67"/>
      <c r="LX25" s="67"/>
      <c r="LY25" s="67"/>
      <c r="LZ25" s="68"/>
      <c r="MA25" s="66"/>
      <c r="MB25" s="67"/>
      <c r="MC25" s="67"/>
      <c r="MD25" s="67"/>
      <c r="ME25" s="67"/>
      <c r="MF25" s="67"/>
      <c r="MG25" s="67"/>
      <c r="MH25" s="67"/>
      <c r="MI25" s="67"/>
      <c r="MJ25" s="67"/>
      <c r="MK25" s="67"/>
      <c r="ML25" s="67"/>
      <c r="MM25" s="67"/>
      <c r="MN25" s="67"/>
      <c r="MO25" s="67"/>
      <c r="MP25" s="67"/>
      <c r="MQ25" s="67"/>
      <c r="MR25" s="67"/>
      <c r="MS25" s="67"/>
      <c r="MT25" s="67"/>
      <c r="MU25" s="67"/>
      <c r="MV25" s="67"/>
      <c r="MW25" s="67"/>
      <c r="MX25" s="67"/>
      <c r="MY25" s="67"/>
      <c r="MZ25" s="67"/>
      <c r="NA25" s="67"/>
      <c r="NB25" s="67"/>
      <c r="NC25" s="67"/>
      <c r="ND25" s="67"/>
      <c r="NE25" s="68"/>
    </row>
    <row r="26" spans="1:369" x14ac:dyDescent="0.25">
      <c r="A26" s="57"/>
      <c r="B26" s="64"/>
      <c r="C26" s="65"/>
      <c r="D26" s="65"/>
      <c r="E26" s="66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8"/>
      <c r="AJ26" s="66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8"/>
      <c r="BL26" s="66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8"/>
      <c r="CQ26" s="66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  <c r="DN26" s="67"/>
      <c r="DO26" s="67"/>
      <c r="DP26" s="67"/>
      <c r="DQ26" s="67"/>
      <c r="DR26" s="67"/>
      <c r="DS26" s="67"/>
      <c r="DT26" s="68"/>
      <c r="DU26" s="66"/>
      <c r="DV26" s="67"/>
      <c r="DW26" s="67"/>
      <c r="DX26" s="67"/>
      <c r="DY26" s="67"/>
      <c r="DZ26" s="67"/>
      <c r="EA26" s="67"/>
      <c r="EB26" s="67"/>
      <c r="EC26" s="67"/>
      <c r="ED26" s="67"/>
      <c r="EE26" s="67"/>
      <c r="EF26" s="67"/>
      <c r="EG26" s="67"/>
      <c r="EH26" s="67"/>
      <c r="EI26" s="67"/>
      <c r="EJ26" s="67"/>
      <c r="EK26" s="67"/>
      <c r="EL26" s="67"/>
      <c r="EM26" s="67"/>
      <c r="EN26" s="67"/>
      <c r="EO26" s="67"/>
      <c r="EP26" s="67"/>
      <c r="EQ26" s="67"/>
      <c r="ER26" s="67"/>
      <c r="ES26" s="67"/>
      <c r="ET26" s="67"/>
      <c r="EU26" s="67"/>
      <c r="EV26" s="67"/>
      <c r="EW26" s="67"/>
      <c r="EX26" s="67"/>
      <c r="EY26" s="68"/>
      <c r="EZ26" s="66"/>
      <c r="FA26" s="67"/>
      <c r="FB26" s="67"/>
      <c r="FC26" s="67"/>
      <c r="FD26" s="67"/>
      <c r="FE26" s="67"/>
      <c r="FF26" s="67"/>
      <c r="FG26" s="67"/>
      <c r="FH26" s="67"/>
      <c r="FI26" s="67"/>
      <c r="FJ26" s="67"/>
      <c r="FK26" s="67"/>
      <c r="FL26" s="67"/>
      <c r="FM26" s="67"/>
      <c r="FN26" s="67"/>
      <c r="FO26" s="67"/>
      <c r="FP26" s="67"/>
      <c r="FQ26" s="67"/>
      <c r="FR26" s="67"/>
      <c r="FS26" s="67"/>
      <c r="FT26" s="67"/>
      <c r="FU26" s="67"/>
      <c r="FV26" s="67"/>
      <c r="FW26" s="67"/>
      <c r="FX26" s="67"/>
      <c r="FY26" s="67"/>
      <c r="FZ26" s="67"/>
      <c r="GA26" s="67"/>
      <c r="GB26" s="67"/>
      <c r="GC26" s="68"/>
      <c r="GD26" s="66"/>
      <c r="GE26" s="67"/>
      <c r="GF26" s="67"/>
      <c r="GG26" s="67"/>
      <c r="GH26" s="67"/>
      <c r="GI26" s="67"/>
      <c r="GJ26" s="67"/>
      <c r="GK26" s="67"/>
      <c r="GL26" s="67"/>
      <c r="GM26" s="67"/>
      <c r="GN26" s="67"/>
      <c r="GO26" s="67"/>
      <c r="GP26" s="67"/>
      <c r="GQ26" s="67"/>
      <c r="GR26" s="67"/>
      <c r="GS26" s="67"/>
      <c r="GT26" s="67"/>
      <c r="GU26" s="67"/>
      <c r="GV26" s="67"/>
      <c r="GW26" s="67"/>
      <c r="GX26" s="67"/>
      <c r="GY26" s="67"/>
      <c r="GZ26" s="67"/>
      <c r="HA26" s="67"/>
      <c r="HB26" s="67"/>
      <c r="HC26" s="67"/>
      <c r="HD26" s="67"/>
      <c r="HE26" s="67"/>
      <c r="HF26" s="67"/>
      <c r="HG26" s="67"/>
      <c r="HH26" s="68"/>
      <c r="HI26" s="66"/>
      <c r="HJ26" s="67"/>
      <c r="HK26" s="67"/>
      <c r="HL26" s="67"/>
      <c r="HM26" s="67"/>
      <c r="HN26" s="67"/>
      <c r="HO26" s="67"/>
      <c r="HP26" s="67"/>
      <c r="HQ26" s="67"/>
      <c r="HR26" s="67"/>
      <c r="HS26" s="67"/>
      <c r="HT26" s="67"/>
      <c r="HU26" s="67"/>
      <c r="HV26" s="67"/>
      <c r="HW26" s="67"/>
      <c r="HX26" s="67"/>
      <c r="HY26" s="67"/>
      <c r="HZ26" s="67"/>
      <c r="IA26" s="67"/>
      <c r="IB26" s="67"/>
      <c r="IC26" s="67"/>
      <c r="ID26" s="67"/>
      <c r="IE26" s="67"/>
      <c r="IF26" s="67"/>
      <c r="IG26" s="67"/>
      <c r="IH26" s="67"/>
      <c r="II26" s="67"/>
      <c r="IJ26" s="67"/>
      <c r="IK26" s="67"/>
      <c r="IL26" s="67"/>
      <c r="IM26" s="68"/>
      <c r="IN26" s="66"/>
      <c r="IO26" s="67"/>
      <c r="IP26" s="67"/>
      <c r="IQ26" s="67"/>
      <c r="IR26" s="67"/>
      <c r="IS26" s="67"/>
      <c r="IT26" s="67"/>
      <c r="IU26" s="67"/>
      <c r="IV26" s="67"/>
      <c r="IW26" s="67"/>
      <c r="IX26" s="67"/>
      <c r="IY26" s="67"/>
      <c r="IZ26" s="67"/>
      <c r="JA26" s="67"/>
      <c r="JB26" s="67"/>
      <c r="JC26" s="67"/>
      <c r="JD26" s="67"/>
      <c r="JE26" s="67"/>
      <c r="JF26" s="67"/>
      <c r="JG26" s="67"/>
      <c r="JH26" s="67"/>
      <c r="JI26" s="67"/>
      <c r="JJ26" s="67"/>
      <c r="JK26" s="67"/>
      <c r="JL26" s="67"/>
      <c r="JM26" s="67"/>
      <c r="JN26" s="67"/>
      <c r="JO26" s="67"/>
      <c r="JP26" s="67"/>
      <c r="JQ26" s="68"/>
      <c r="JR26" s="66"/>
      <c r="JS26" s="67"/>
      <c r="JT26" s="67"/>
      <c r="JU26" s="67"/>
      <c r="JV26" s="67"/>
      <c r="JW26" s="67"/>
      <c r="JX26" s="67"/>
      <c r="JY26" s="67"/>
      <c r="JZ26" s="67"/>
      <c r="KA26" s="67"/>
      <c r="KB26" s="67"/>
      <c r="KC26" s="67"/>
      <c r="KD26" s="67"/>
      <c r="KE26" s="67"/>
      <c r="KF26" s="67"/>
      <c r="KG26" s="67"/>
      <c r="KH26" s="67"/>
      <c r="KI26" s="67"/>
      <c r="KJ26" s="67"/>
      <c r="KK26" s="67"/>
      <c r="KL26" s="67"/>
      <c r="KM26" s="67"/>
      <c r="KN26" s="67"/>
      <c r="KO26" s="67"/>
      <c r="KP26" s="67"/>
      <c r="KQ26" s="67"/>
      <c r="KR26" s="67"/>
      <c r="KS26" s="67"/>
      <c r="KT26" s="67"/>
      <c r="KU26" s="67"/>
      <c r="KV26" s="68"/>
      <c r="KW26" s="66"/>
      <c r="KX26" s="67"/>
      <c r="KY26" s="67"/>
      <c r="KZ26" s="67"/>
      <c r="LA26" s="67"/>
      <c r="LB26" s="67"/>
      <c r="LC26" s="67"/>
      <c r="LD26" s="67"/>
      <c r="LE26" s="67"/>
      <c r="LF26" s="67"/>
      <c r="LG26" s="67"/>
      <c r="LH26" s="67"/>
      <c r="LI26" s="67"/>
      <c r="LJ26" s="67"/>
      <c r="LK26" s="67"/>
      <c r="LL26" s="67"/>
      <c r="LM26" s="67"/>
      <c r="LN26" s="67"/>
      <c r="LO26" s="67"/>
      <c r="LP26" s="67"/>
      <c r="LQ26" s="67"/>
      <c r="LR26" s="67"/>
      <c r="LS26" s="67"/>
      <c r="LT26" s="67"/>
      <c r="LU26" s="67"/>
      <c r="LV26" s="67"/>
      <c r="LW26" s="67"/>
      <c r="LX26" s="67"/>
      <c r="LY26" s="67"/>
      <c r="LZ26" s="68"/>
      <c r="MA26" s="66"/>
      <c r="MB26" s="67"/>
      <c r="MC26" s="67"/>
      <c r="MD26" s="67"/>
      <c r="ME26" s="67"/>
      <c r="MF26" s="67"/>
      <c r="MG26" s="67"/>
      <c r="MH26" s="67"/>
      <c r="MI26" s="67"/>
      <c r="MJ26" s="67"/>
      <c r="MK26" s="67"/>
      <c r="ML26" s="67"/>
      <c r="MM26" s="67"/>
      <c r="MN26" s="67"/>
      <c r="MO26" s="67"/>
      <c r="MP26" s="67"/>
      <c r="MQ26" s="67"/>
      <c r="MR26" s="67"/>
      <c r="MS26" s="67"/>
      <c r="MT26" s="67"/>
      <c r="MU26" s="67"/>
      <c r="MV26" s="67"/>
      <c r="MW26" s="67"/>
      <c r="MX26" s="67"/>
      <c r="MY26" s="67"/>
      <c r="MZ26" s="67"/>
      <c r="NA26" s="67"/>
      <c r="NB26" s="67"/>
      <c r="NC26" s="67"/>
      <c r="ND26" s="67"/>
      <c r="NE26" s="68"/>
    </row>
    <row r="27" spans="1:369" x14ac:dyDescent="0.25">
      <c r="A27" s="63"/>
      <c r="B27" s="69"/>
      <c r="C27" s="70"/>
      <c r="D27" s="65"/>
      <c r="E27" s="71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3"/>
      <c r="AJ27" s="71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3"/>
      <c r="BL27" s="71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2"/>
      <c r="CG27" s="72"/>
      <c r="CH27" s="72"/>
      <c r="CI27" s="72"/>
      <c r="CJ27" s="72"/>
      <c r="CK27" s="72"/>
      <c r="CL27" s="72"/>
      <c r="CM27" s="72"/>
      <c r="CN27" s="72"/>
      <c r="CO27" s="72"/>
      <c r="CP27" s="73"/>
      <c r="CQ27" s="71"/>
      <c r="CR27" s="72"/>
      <c r="CS27" s="72"/>
      <c r="CT27" s="72"/>
      <c r="CU27" s="72"/>
      <c r="CV27" s="72"/>
      <c r="CW27" s="72"/>
      <c r="CX27" s="72"/>
      <c r="CY27" s="72"/>
      <c r="CZ27" s="72"/>
      <c r="DA27" s="72"/>
      <c r="DB27" s="72"/>
      <c r="DC27" s="72"/>
      <c r="DD27" s="72"/>
      <c r="DE27" s="72"/>
      <c r="DF27" s="72"/>
      <c r="DG27" s="72"/>
      <c r="DH27" s="72"/>
      <c r="DI27" s="72"/>
      <c r="DJ27" s="72"/>
      <c r="DK27" s="72"/>
      <c r="DL27" s="72"/>
      <c r="DM27" s="72"/>
      <c r="DN27" s="72"/>
      <c r="DO27" s="72"/>
      <c r="DP27" s="72"/>
      <c r="DQ27" s="72"/>
      <c r="DR27" s="72"/>
      <c r="DS27" s="72"/>
      <c r="DT27" s="73"/>
      <c r="DU27" s="71"/>
      <c r="DV27" s="72"/>
      <c r="DW27" s="72"/>
      <c r="DX27" s="72"/>
      <c r="DY27" s="72"/>
      <c r="DZ27" s="72"/>
      <c r="EA27" s="72"/>
      <c r="EB27" s="72"/>
      <c r="EC27" s="72"/>
      <c r="ED27" s="72"/>
      <c r="EE27" s="72"/>
      <c r="EF27" s="72"/>
      <c r="EG27" s="72"/>
      <c r="EH27" s="72"/>
      <c r="EI27" s="72"/>
      <c r="EJ27" s="72"/>
      <c r="EK27" s="72"/>
      <c r="EL27" s="72"/>
      <c r="EM27" s="72"/>
      <c r="EN27" s="72"/>
      <c r="EO27" s="72"/>
      <c r="EP27" s="72"/>
      <c r="EQ27" s="72"/>
      <c r="ER27" s="72"/>
      <c r="ES27" s="72"/>
      <c r="ET27" s="72"/>
      <c r="EU27" s="72"/>
      <c r="EV27" s="72"/>
      <c r="EW27" s="72"/>
      <c r="EX27" s="72"/>
      <c r="EY27" s="73"/>
      <c r="EZ27" s="71"/>
      <c r="FA27" s="72"/>
      <c r="FB27" s="72"/>
      <c r="FC27" s="72"/>
      <c r="FD27" s="72"/>
      <c r="FE27" s="72"/>
      <c r="FF27" s="72"/>
      <c r="FG27" s="72"/>
      <c r="FH27" s="72"/>
      <c r="FI27" s="72"/>
      <c r="FJ27" s="72"/>
      <c r="FK27" s="72"/>
      <c r="FL27" s="72"/>
      <c r="FM27" s="72"/>
      <c r="FN27" s="72"/>
      <c r="FO27" s="72"/>
      <c r="FP27" s="72"/>
      <c r="FQ27" s="72"/>
      <c r="FR27" s="72"/>
      <c r="FS27" s="72"/>
      <c r="FT27" s="72"/>
      <c r="FU27" s="72"/>
      <c r="FV27" s="72"/>
      <c r="FW27" s="72"/>
      <c r="FX27" s="72"/>
      <c r="FY27" s="72"/>
      <c r="FZ27" s="72"/>
      <c r="GA27" s="72"/>
      <c r="GB27" s="72"/>
      <c r="GC27" s="73"/>
      <c r="GD27" s="71"/>
      <c r="GE27" s="72"/>
      <c r="GF27" s="72"/>
      <c r="GG27" s="72"/>
      <c r="GH27" s="72"/>
      <c r="GI27" s="72"/>
      <c r="GJ27" s="72"/>
      <c r="GK27" s="72"/>
      <c r="GL27" s="72"/>
      <c r="GM27" s="72"/>
      <c r="GN27" s="72"/>
      <c r="GO27" s="72"/>
      <c r="GP27" s="72"/>
      <c r="GQ27" s="72"/>
      <c r="GR27" s="72"/>
      <c r="GS27" s="72"/>
      <c r="GT27" s="72"/>
      <c r="GU27" s="72"/>
      <c r="GV27" s="72"/>
      <c r="GW27" s="72"/>
      <c r="GX27" s="72"/>
      <c r="GY27" s="72"/>
      <c r="GZ27" s="72"/>
      <c r="HA27" s="72"/>
      <c r="HB27" s="72"/>
      <c r="HC27" s="72"/>
      <c r="HD27" s="72"/>
      <c r="HE27" s="72"/>
      <c r="HF27" s="72"/>
      <c r="HG27" s="72"/>
      <c r="HH27" s="73"/>
      <c r="HI27" s="71"/>
      <c r="HJ27" s="72"/>
      <c r="HK27" s="72"/>
      <c r="HL27" s="72"/>
      <c r="HM27" s="72"/>
      <c r="HN27" s="72"/>
      <c r="HO27" s="72"/>
      <c r="HP27" s="72"/>
      <c r="HQ27" s="72"/>
      <c r="HR27" s="72"/>
      <c r="HS27" s="72"/>
      <c r="HT27" s="72"/>
      <c r="HU27" s="72"/>
      <c r="HV27" s="72"/>
      <c r="HW27" s="72"/>
      <c r="HX27" s="72"/>
      <c r="HY27" s="72"/>
      <c r="HZ27" s="72"/>
      <c r="IA27" s="72"/>
      <c r="IB27" s="72"/>
      <c r="IC27" s="72"/>
      <c r="ID27" s="72"/>
      <c r="IE27" s="72"/>
      <c r="IF27" s="72"/>
      <c r="IG27" s="72"/>
      <c r="IH27" s="72"/>
      <c r="II27" s="72"/>
      <c r="IJ27" s="72"/>
      <c r="IK27" s="72"/>
      <c r="IL27" s="72"/>
      <c r="IM27" s="73"/>
      <c r="IN27" s="71"/>
      <c r="IO27" s="72"/>
      <c r="IP27" s="72"/>
      <c r="IQ27" s="72"/>
      <c r="IR27" s="72"/>
      <c r="IS27" s="72"/>
      <c r="IT27" s="72"/>
      <c r="IU27" s="72"/>
      <c r="IV27" s="72"/>
      <c r="IW27" s="72"/>
      <c r="IX27" s="72"/>
      <c r="IY27" s="72"/>
      <c r="IZ27" s="72"/>
      <c r="JA27" s="72"/>
      <c r="JB27" s="72"/>
      <c r="JC27" s="72"/>
      <c r="JD27" s="72"/>
      <c r="JE27" s="72"/>
      <c r="JF27" s="72"/>
      <c r="JG27" s="72"/>
      <c r="JH27" s="72"/>
      <c r="JI27" s="72"/>
      <c r="JJ27" s="72"/>
      <c r="JK27" s="72"/>
      <c r="JL27" s="72"/>
      <c r="JM27" s="72"/>
      <c r="JN27" s="72"/>
      <c r="JO27" s="72"/>
      <c r="JP27" s="72"/>
      <c r="JQ27" s="73"/>
      <c r="JR27" s="71"/>
      <c r="JS27" s="72"/>
      <c r="JT27" s="72"/>
      <c r="JU27" s="72"/>
      <c r="JV27" s="72"/>
      <c r="JW27" s="72"/>
      <c r="JX27" s="72"/>
      <c r="JY27" s="72"/>
      <c r="JZ27" s="72"/>
      <c r="KA27" s="72"/>
      <c r="KB27" s="72"/>
      <c r="KC27" s="72"/>
      <c r="KD27" s="72"/>
      <c r="KE27" s="72"/>
      <c r="KF27" s="72"/>
      <c r="KG27" s="72"/>
      <c r="KH27" s="72"/>
      <c r="KI27" s="72"/>
      <c r="KJ27" s="72"/>
      <c r="KK27" s="72"/>
      <c r="KL27" s="72"/>
      <c r="KM27" s="72"/>
      <c r="KN27" s="72"/>
      <c r="KO27" s="72"/>
      <c r="KP27" s="72"/>
      <c r="KQ27" s="72"/>
      <c r="KR27" s="72"/>
      <c r="KS27" s="72"/>
      <c r="KT27" s="72"/>
      <c r="KU27" s="72"/>
      <c r="KV27" s="73"/>
      <c r="KW27" s="71"/>
      <c r="KX27" s="72"/>
      <c r="KY27" s="72"/>
      <c r="KZ27" s="72"/>
      <c r="LA27" s="72"/>
      <c r="LB27" s="72"/>
      <c r="LC27" s="72"/>
      <c r="LD27" s="72"/>
      <c r="LE27" s="72"/>
      <c r="LF27" s="72"/>
      <c r="LG27" s="72"/>
      <c r="LH27" s="72"/>
      <c r="LI27" s="72"/>
      <c r="LJ27" s="72"/>
      <c r="LK27" s="72"/>
      <c r="LL27" s="72"/>
      <c r="LM27" s="72"/>
      <c r="LN27" s="72"/>
      <c r="LO27" s="72"/>
      <c r="LP27" s="72"/>
      <c r="LQ27" s="72"/>
      <c r="LR27" s="72"/>
      <c r="LS27" s="72"/>
      <c r="LT27" s="72"/>
      <c r="LU27" s="72"/>
      <c r="LV27" s="72"/>
      <c r="LW27" s="72"/>
      <c r="LX27" s="72"/>
      <c r="LY27" s="72"/>
      <c r="LZ27" s="73"/>
      <c r="MA27" s="71"/>
      <c r="MB27" s="72"/>
      <c r="MC27" s="72"/>
      <c r="MD27" s="72"/>
      <c r="ME27" s="72"/>
      <c r="MF27" s="72"/>
      <c r="MG27" s="72"/>
      <c r="MH27" s="72"/>
      <c r="MI27" s="72"/>
      <c r="MJ27" s="72"/>
      <c r="MK27" s="72"/>
      <c r="ML27" s="72"/>
      <c r="MM27" s="72"/>
      <c r="MN27" s="72"/>
      <c r="MO27" s="72"/>
      <c r="MP27" s="72"/>
      <c r="MQ27" s="72"/>
      <c r="MR27" s="72"/>
      <c r="MS27" s="72"/>
      <c r="MT27" s="72"/>
      <c r="MU27" s="72"/>
      <c r="MV27" s="72"/>
      <c r="MW27" s="72"/>
      <c r="MX27" s="72"/>
      <c r="MY27" s="72"/>
      <c r="MZ27" s="72"/>
      <c r="NA27" s="72"/>
      <c r="NB27" s="72"/>
      <c r="NC27" s="72"/>
      <c r="ND27" s="72"/>
      <c r="NE27" s="73"/>
    </row>
    <row r="28" spans="1:369" ht="15.75" thickBot="1" x14ac:dyDescent="0.3">
      <c r="A28" s="57"/>
      <c r="B28" s="74"/>
      <c r="C28" s="75"/>
      <c r="D28" s="75"/>
      <c r="E28" s="76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8"/>
      <c r="AJ28" s="76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8"/>
      <c r="BL28" s="76"/>
      <c r="BM28" s="77"/>
      <c r="BN28" s="77"/>
      <c r="BO28" s="77"/>
      <c r="BP28" s="77"/>
      <c r="BQ28" s="77"/>
      <c r="BR28" s="77"/>
      <c r="BS28" s="77"/>
      <c r="BT28" s="77"/>
      <c r="BU28" s="77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8"/>
      <c r="CQ28" s="76"/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8"/>
      <c r="DU28" s="76"/>
      <c r="DV28" s="77"/>
      <c r="DW28" s="77"/>
      <c r="DX28" s="77"/>
      <c r="DY28" s="77"/>
      <c r="DZ28" s="77"/>
      <c r="EA28" s="77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  <c r="EO28" s="77"/>
      <c r="EP28" s="77"/>
      <c r="EQ28" s="77"/>
      <c r="ER28" s="77"/>
      <c r="ES28" s="77"/>
      <c r="ET28" s="77"/>
      <c r="EU28" s="77"/>
      <c r="EV28" s="77"/>
      <c r="EW28" s="77"/>
      <c r="EX28" s="77"/>
      <c r="EY28" s="78"/>
      <c r="EZ28" s="76"/>
      <c r="FA28" s="77"/>
      <c r="FB28" s="77"/>
      <c r="FC28" s="77"/>
      <c r="FD28" s="77"/>
      <c r="FE28" s="77"/>
      <c r="FF28" s="77"/>
      <c r="FG28" s="77"/>
      <c r="FH28" s="77"/>
      <c r="FI28" s="77"/>
      <c r="FJ28" s="77"/>
      <c r="FK28" s="77"/>
      <c r="FL28" s="77"/>
      <c r="FM28" s="77"/>
      <c r="FN28" s="77"/>
      <c r="FO28" s="77"/>
      <c r="FP28" s="77"/>
      <c r="FQ28" s="77"/>
      <c r="FR28" s="77"/>
      <c r="FS28" s="77"/>
      <c r="FT28" s="77"/>
      <c r="FU28" s="77"/>
      <c r="FV28" s="77"/>
      <c r="FW28" s="77"/>
      <c r="FX28" s="77"/>
      <c r="FY28" s="77"/>
      <c r="FZ28" s="77"/>
      <c r="GA28" s="77"/>
      <c r="GB28" s="77"/>
      <c r="GC28" s="78"/>
      <c r="GD28" s="76"/>
      <c r="GE28" s="77"/>
      <c r="GF28" s="77"/>
      <c r="GG28" s="77"/>
      <c r="GH28" s="77"/>
      <c r="GI28" s="77"/>
      <c r="GJ28" s="77"/>
      <c r="GK28" s="77"/>
      <c r="GL28" s="77"/>
      <c r="GM28" s="77"/>
      <c r="GN28" s="77"/>
      <c r="GO28" s="77"/>
      <c r="GP28" s="77"/>
      <c r="GQ28" s="77"/>
      <c r="GR28" s="77"/>
      <c r="GS28" s="77"/>
      <c r="GT28" s="77"/>
      <c r="GU28" s="77"/>
      <c r="GV28" s="77"/>
      <c r="GW28" s="77"/>
      <c r="GX28" s="77"/>
      <c r="GY28" s="77"/>
      <c r="GZ28" s="77"/>
      <c r="HA28" s="77"/>
      <c r="HB28" s="77"/>
      <c r="HC28" s="77"/>
      <c r="HD28" s="77"/>
      <c r="HE28" s="77"/>
      <c r="HF28" s="77"/>
      <c r="HG28" s="77"/>
      <c r="HH28" s="78"/>
      <c r="HI28" s="76"/>
      <c r="HJ28" s="77"/>
      <c r="HK28" s="77"/>
      <c r="HL28" s="77"/>
      <c r="HM28" s="77"/>
      <c r="HN28" s="77"/>
      <c r="HO28" s="77"/>
      <c r="HP28" s="77"/>
      <c r="HQ28" s="77"/>
      <c r="HR28" s="77"/>
      <c r="HS28" s="77"/>
      <c r="HT28" s="77"/>
      <c r="HU28" s="77"/>
      <c r="HV28" s="77"/>
      <c r="HW28" s="77"/>
      <c r="HX28" s="77"/>
      <c r="HY28" s="77"/>
      <c r="HZ28" s="77"/>
      <c r="IA28" s="77"/>
      <c r="IB28" s="77"/>
      <c r="IC28" s="77"/>
      <c r="ID28" s="77"/>
      <c r="IE28" s="77"/>
      <c r="IF28" s="77"/>
      <c r="IG28" s="77"/>
      <c r="IH28" s="77"/>
      <c r="II28" s="77"/>
      <c r="IJ28" s="77"/>
      <c r="IK28" s="77"/>
      <c r="IL28" s="77"/>
      <c r="IM28" s="78"/>
      <c r="IN28" s="76"/>
      <c r="IO28" s="77"/>
      <c r="IP28" s="77"/>
      <c r="IQ28" s="77"/>
      <c r="IR28" s="77"/>
      <c r="IS28" s="77"/>
      <c r="IT28" s="77"/>
      <c r="IU28" s="77"/>
      <c r="IV28" s="77"/>
      <c r="IW28" s="77"/>
      <c r="IX28" s="77"/>
      <c r="IY28" s="77"/>
      <c r="IZ28" s="77"/>
      <c r="JA28" s="77"/>
      <c r="JB28" s="77"/>
      <c r="JC28" s="77"/>
      <c r="JD28" s="77"/>
      <c r="JE28" s="77"/>
      <c r="JF28" s="77"/>
      <c r="JG28" s="77"/>
      <c r="JH28" s="77"/>
      <c r="JI28" s="77"/>
      <c r="JJ28" s="77"/>
      <c r="JK28" s="77"/>
      <c r="JL28" s="77"/>
      <c r="JM28" s="77"/>
      <c r="JN28" s="77"/>
      <c r="JO28" s="77"/>
      <c r="JP28" s="77"/>
      <c r="JQ28" s="78"/>
      <c r="JR28" s="76"/>
      <c r="JS28" s="77"/>
      <c r="JT28" s="77"/>
      <c r="JU28" s="77"/>
      <c r="JV28" s="77"/>
      <c r="JW28" s="77"/>
      <c r="JX28" s="77"/>
      <c r="JY28" s="77"/>
      <c r="JZ28" s="77"/>
      <c r="KA28" s="77"/>
      <c r="KB28" s="77"/>
      <c r="KC28" s="77"/>
      <c r="KD28" s="77"/>
      <c r="KE28" s="77"/>
      <c r="KF28" s="77"/>
      <c r="KG28" s="77"/>
      <c r="KH28" s="77"/>
      <c r="KI28" s="77"/>
      <c r="KJ28" s="77"/>
      <c r="KK28" s="77"/>
      <c r="KL28" s="77"/>
      <c r="KM28" s="77"/>
      <c r="KN28" s="77"/>
      <c r="KO28" s="77"/>
      <c r="KP28" s="77"/>
      <c r="KQ28" s="77"/>
      <c r="KR28" s="77"/>
      <c r="KS28" s="77"/>
      <c r="KT28" s="77"/>
      <c r="KU28" s="77"/>
      <c r="KV28" s="78"/>
      <c r="KW28" s="76"/>
      <c r="KX28" s="77"/>
      <c r="KY28" s="77"/>
      <c r="KZ28" s="77"/>
      <c r="LA28" s="77"/>
      <c r="LB28" s="77"/>
      <c r="LC28" s="77"/>
      <c r="LD28" s="77"/>
      <c r="LE28" s="77"/>
      <c r="LF28" s="77"/>
      <c r="LG28" s="77"/>
      <c r="LH28" s="77"/>
      <c r="LI28" s="77"/>
      <c r="LJ28" s="77"/>
      <c r="LK28" s="77"/>
      <c r="LL28" s="77"/>
      <c r="LM28" s="77"/>
      <c r="LN28" s="77"/>
      <c r="LO28" s="77"/>
      <c r="LP28" s="77"/>
      <c r="LQ28" s="77"/>
      <c r="LR28" s="77"/>
      <c r="LS28" s="77"/>
      <c r="LT28" s="77"/>
      <c r="LU28" s="77"/>
      <c r="LV28" s="77"/>
      <c r="LW28" s="77"/>
      <c r="LX28" s="77"/>
      <c r="LY28" s="77"/>
      <c r="LZ28" s="78"/>
      <c r="MA28" s="76"/>
      <c r="MB28" s="77"/>
      <c r="MC28" s="77"/>
      <c r="MD28" s="77"/>
      <c r="ME28" s="77"/>
      <c r="MF28" s="77"/>
      <c r="MG28" s="77"/>
      <c r="MH28" s="77"/>
      <c r="MI28" s="77"/>
      <c r="MJ28" s="77"/>
      <c r="MK28" s="77"/>
      <c r="ML28" s="77"/>
      <c r="MM28" s="77"/>
      <c r="MN28" s="77"/>
      <c r="MO28" s="77"/>
      <c r="MP28" s="77"/>
      <c r="MQ28" s="77"/>
      <c r="MR28" s="77"/>
      <c r="MS28" s="77"/>
      <c r="MT28" s="77"/>
      <c r="MU28" s="77"/>
      <c r="MV28" s="77"/>
      <c r="MW28" s="77"/>
      <c r="MX28" s="77"/>
      <c r="MY28" s="77"/>
      <c r="MZ28" s="77"/>
      <c r="NA28" s="77"/>
      <c r="NB28" s="77"/>
      <c r="NC28" s="77"/>
      <c r="ND28" s="77"/>
      <c r="NE28" s="78"/>
    </row>
    <row r="29" spans="1:369" x14ac:dyDescent="0.25"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  <c r="DZ29" s="51"/>
      <c r="EA29" s="51"/>
      <c r="EB29" s="51"/>
      <c r="EC29" s="51"/>
      <c r="ED29" s="51"/>
      <c r="EE29" s="51"/>
      <c r="EF29" s="51"/>
      <c r="EG29" s="51"/>
      <c r="EH29" s="51"/>
      <c r="EI29" s="51"/>
      <c r="EJ29" s="51"/>
      <c r="EK29" s="51"/>
      <c r="EL29" s="51"/>
      <c r="EM29" s="51"/>
      <c r="EN29" s="51"/>
      <c r="EO29" s="51"/>
      <c r="EP29" s="51"/>
      <c r="EQ29" s="51"/>
      <c r="ER29" s="51"/>
      <c r="ES29" s="51"/>
      <c r="ET29" s="51"/>
      <c r="EU29" s="51"/>
      <c r="EV29" s="51"/>
      <c r="EW29" s="51"/>
      <c r="EX29" s="51"/>
      <c r="EY29" s="51"/>
      <c r="EZ29" s="51"/>
      <c r="FA29" s="51"/>
      <c r="FB29" s="51"/>
      <c r="FC29" s="51"/>
      <c r="FD29" s="51"/>
      <c r="FE29" s="51"/>
      <c r="FF29" s="51"/>
      <c r="FG29" s="51"/>
      <c r="FH29" s="51"/>
      <c r="FI29" s="51"/>
      <c r="FJ29" s="51"/>
      <c r="FK29" s="51"/>
      <c r="FL29" s="51"/>
      <c r="FM29" s="51"/>
      <c r="FN29" s="51"/>
      <c r="FO29" s="51"/>
      <c r="FP29" s="51"/>
      <c r="FQ29" s="51"/>
      <c r="FR29" s="51"/>
      <c r="FS29" s="51"/>
      <c r="FT29" s="51"/>
      <c r="FU29" s="51"/>
      <c r="FV29" s="51"/>
      <c r="FW29" s="51"/>
      <c r="FX29" s="51"/>
      <c r="FY29" s="51"/>
      <c r="FZ29" s="51"/>
      <c r="GA29" s="51"/>
      <c r="GB29" s="51"/>
      <c r="GC29" s="51"/>
      <c r="GD29" s="51"/>
      <c r="GE29" s="51"/>
      <c r="GF29" s="51"/>
      <c r="GG29" s="51"/>
      <c r="GH29" s="51"/>
      <c r="GI29" s="51"/>
      <c r="GJ29" s="51"/>
      <c r="GK29" s="51"/>
      <c r="GL29" s="51"/>
      <c r="GM29" s="51"/>
      <c r="GN29" s="51"/>
      <c r="GO29" s="51"/>
      <c r="GP29" s="51"/>
      <c r="GQ29" s="51"/>
      <c r="GR29" s="51"/>
      <c r="GS29" s="51"/>
      <c r="GT29" s="51"/>
      <c r="GU29" s="51"/>
      <c r="GV29" s="51"/>
      <c r="GW29" s="51"/>
      <c r="GX29" s="51"/>
      <c r="GY29" s="51"/>
      <c r="GZ29" s="51"/>
      <c r="HA29" s="51"/>
      <c r="HB29" s="51"/>
      <c r="HC29" s="51"/>
      <c r="HD29" s="51"/>
      <c r="HE29" s="51"/>
      <c r="HF29" s="51"/>
      <c r="HG29" s="51"/>
      <c r="HH29" s="51"/>
      <c r="HI29" s="51"/>
      <c r="HJ29" s="51"/>
      <c r="HK29" s="51"/>
      <c r="HL29" s="51"/>
      <c r="HM29" s="51"/>
      <c r="HN29" s="51"/>
      <c r="HO29" s="51"/>
      <c r="HP29" s="51"/>
      <c r="HQ29" s="51"/>
      <c r="HR29" s="51"/>
      <c r="HS29" s="51"/>
      <c r="HT29" s="51"/>
      <c r="HU29" s="51"/>
      <c r="HV29" s="51"/>
      <c r="HW29" s="51"/>
      <c r="HX29" s="51"/>
      <c r="HY29" s="51"/>
      <c r="HZ29" s="51"/>
      <c r="IA29" s="51"/>
      <c r="IB29" s="51"/>
      <c r="IC29" s="51"/>
      <c r="ID29" s="51"/>
      <c r="IE29" s="51"/>
      <c r="IF29" s="51"/>
      <c r="IG29" s="51"/>
      <c r="IH29" s="51"/>
      <c r="II29" s="51"/>
      <c r="IJ29" s="51"/>
      <c r="IK29" s="51"/>
      <c r="IL29" s="51"/>
      <c r="IM29" s="51"/>
      <c r="IN29" s="51"/>
      <c r="IO29" s="51"/>
      <c r="IP29" s="51"/>
      <c r="IQ29" s="51"/>
      <c r="IR29" s="51"/>
      <c r="IS29" s="51"/>
      <c r="IT29" s="51"/>
      <c r="IU29" s="51"/>
      <c r="IV29" s="51"/>
      <c r="IW29" s="51"/>
      <c r="IX29" s="51"/>
      <c r="IY29" s="51"/>
      <c r="IZ29" s="51"/>
      <c r="JA29" s="51"/>
      <c r="JB29" s="51"/>
      <c r="JC29" s="51"/>
      <c r="JD29" s="51"/>
      <c r="JE29" s="51"/>
      <c r="JF29" s="51"/>
      <c r="JG29" s="51"/>
      <c r="JH29" s="51"/>
      <c r="JI29" s="51"/>
      <c r="JJ29" s="51"/>
      <c r="JK29" s="51"/>
      <c r="JL29" s="51"/>
      <c r="JM29" s="51"/>
      <c r="JN29" s="51"/>
      <c r="JO29" s="51"/>
      <c r="JP29" s="51"/>
      <c r="JQ29" s="51"/>
      <c r="JR29" s="51"/>
      <c r="JS29" s="51"/>
      <c r="JT29" s="51"/>
      <c r="JU29" s="51"/>
      <c r="JV29" s="51"/>
      <c r="JW29" s="51"/>
      <c r="JX29" s="51"/>
      <c r="JY29" s="51"/>
      <c r="JZ29" s="51"/>
      <c r="KA29" s="51"/>
      <c r="KB29" s="51"/>
      <c r="KC29" s="51"/>
      <c r="KD29" s="51"/>
      <c r="KE29" s="51"/>
      <c r="KF29" s="51"/>
      <c r="KG29" s="51"/>
      <c r="KH29" s="51"/>
      <c r="KI29" s="51"/>
      <c r="KJ29" s="51"/>
      <c r="KK29" s="51"/>
      <c r="KL29" s="51"/>
      <c r="KM29" s="51"/>
      <c r="KN29" s="51"/>
      <c r="KO29" s="51"/>
      <c r="KP29" s="51"/>
      <c r="KQ29" s="51"/>
      <c r="KR29" s="51"/>
      <c r="KS29" s="51"/>
      <c r="KT29" s="51"/>
      <c r="KU29" s="51"/>
      <c r="KV29" s="51"/>
      <c r="KW29" s="51"/>
      <c r="KX29" s="51"/>
      <c r="KY29" s="51"/>
      <c r="KZ29" s="51"/>
      <c r="LA29" s="51"/>
      <c r="LB29" s="51"/>
      <c r="LC29" s="51"/>
      <c r="LD29" s="51"/>
      <c r="LE29" s="51"/>
      <c r="LF29" s="51"/>
      <c r="LG29" s="51"/>
      <c r="LH29" s="51"/>
      <c r="LI29" s="51"/>
      <c r="LJ29" s="51"/>
      <c r="LK29" s="51"/>
      <c r="LL29" s="51"/>
      <c r="LM29" s="51"/>
      <c r="LN29" s="51"/>
      <c r="LO29" s="51"/>
      <c r="LP29" s="51"/>
      <c r="LQ29" s="51"/>
      <c r="LR29" s="51"/>
      <c r="LS29" s="51"/>
      <c r="LT29" s="51"/>
      <c r="LU29" s="51"/>
      <c r="LV29" s="51"/>
      <c r="LW29" s="51"/>
      <c r="LX29" s="51"/>
      <c r="LY29" s="51"/>
      <c r="LZ29" s="51"/>
      <c r="MA29" s="51"/>
      <c r="MB29" s="51"/>
      <c r="MC29" s="51"/>
      <c r="MD29" s="51"/>
      <c r="ME29" s="51"/>
      <c r="MF29" s="51"/>
      <c r="MG29" s="51"/>
      <c r="MH29" s="51"/>
      <c r="MI29" s="51"/>
      <c r="MJ29" s="51"/>
      <c r="MK29" s="51"/>
      <c r="ML29" s="51"/>
      <c r="MM29" s="51"/>
      <c r="MN29" s="51"/>
      <c r="MO29" s="51"/>
      <c r="MP29" s="51"/>
      <c r="MQ29" s="51"/>
      <c r="MR29" s="51"/>
      <c r="MS29" s="51"/>
      <c r="MT29" s="51"/>
      <c r="MU29" s="51"/>
      <c r="MV29" s="51"/>
      <c r="MW29" s="51"/>
      <c r="MX29" s="51"/>
      <c r="MY29" s="51"/>
      <c r="MZ29" s="51"/>
      <c r="NA29" s="51"/>
      <c r="NB29" s="51"/>
      <c r="NC29" s="51"/>
      <c r="ND29" s="51"/>
      <c r="NE29" s="51"/>
    </row>
    <row r="30" spans="1:369" x14ac:dyDescent="0.25">
      <c r="A30" s="79" t="s">
        <v>93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51"/>
      <c r="DU30" s="51"/>
      <c r="DV30" s="51"/>
      <c r="DW30" s="51"/>
      <c r="DX30" s="51"/>
      <c r="DY30" s="51"/>
      <c r="DZ30" s="51"/>
      <c r="EA30" s="51"/>
      <c r="EB30" s="51"/>
      <c r="EC30" s="51"/>
      <c r="ED30" s="51"/>
      <c r="EE30" s="51"/>
      <c r="EF30" s="51"/>
      <c r="EG30" s="51"/>
      <c r="EH30" s="51"/>
      <c r="EI30" s="51"/>
      <c r="EJ30" s="51"/>
      <c r="EK30" s="51"/>
      <c r="EL30" s="51"/>
      <c r="EM30" s="51"/>
      <c r="EN30" s="51"/>
      <c r="EO30" s="51"/>
      <c r="EP30" s="51"/>
      <c r="EQ30" s="51"/>
      <c r="ER30" s="51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51"/>
      <c r="FD30" s="51"/>
      <c r="FE30" s="51"/>
      <c r="FF30" s="51"/>
      <c r="FG30" s="51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1"/>
      <c r="FV30" s="51"/>
      <c r="FW30" s="51"/>
      <c r="FX30" s="51"/>
      <c r="FY30" s="51"/>
      <c r="FZ30" s="51"/>
      <c r="GA30" s="51"/>
      <c r="GB30" s="51"/>
      <c r="GC30" s="51"/>
      <c r="GD30" s="51"/>
      <c r="GE30" s="51"/>
      <c r="GF30" s="51"/>
      <c r="GG30" s="51"/>
      <c r="GH30" s="51"/>
      <c r="GI30" s="51"/>
      <c r="GJ30" s="51"/>
      <c r="GK30" s="51"/>
      <c r="GL30" s="51"/>
      <c r="GM30" s="51"/>
      <c r="GN30" s="51"/>
      <c r="GO30" s="51"/>
      <c r="GP30" s="51"/>
      <c r="GQ30" s="51"/>
      <c r="GR30" s="51"/>
      <c r="GS30" s="51"/>
      <c r="GT30" s="51"/>
      <c r="GU30" s="51"/>
      <c r="GV30" s="51"/>
      <c r="GW30" s="51"/>
      <c r="GX30" s="51"/>
      <c r="GY30" s="51"/>
      <c r="GZ30" s="51"/>
      <c r="HA30" s="51"/>
      <c r="HB30" s="51"/>
      <c r="HC30" s="51"/>
      <c r="HD30" s="51"/>
      <c r="HE30" s="51"/>
      <c r="HF30" s="51"/>
      <c r="HG30" s="51"/>
      <c r="HH30" s="51"/>
      <c r="HI30" s="51"/>
      <c r="HJ30" s="51"/>
      <c r="HK30" s="51"/>
      <c r="HL30" s="51"/>
      <c r="HM30" s="51"/>
      <c r="HN30" s="51"/>
      <c r="HO30" s="51"/>
      <c r="HP30" s="51"/>
      <c r="HQ30" s="51"/>
      <c r="HR30" s="51"/>
      <c r="HS30" s="51"/>
      <c r="HT30" s="51"/>
      <c r="HU30" s="51"/>
      <c r="HV30" s="51"/>
      <c r="HW30" s="51"/>
      <c r="HX30" s="51"/>
      <c r="HY30" s="51"/>
      <c r="HZ30" s="51"/>
      <c r="IA30" s="51"/>
      <c r="IB30" s="51"/>
      <c r="IC30" s="51"/>
      <c r="ID30" s="51"/>
      <c r="IE30" s="51"/>
      <c r="IF30" s="51"/>
      <c r="IG30" s="51"/>
      <c r="IH30" s="51"/>
      <c r="II30" s="51"/>
      <c r="IJ30" s="51"/>
      <c r="IK30" s="51"/>
      <c r="IL30" s="51"/>
      <c r="IM30" s="51"/>
      <c r="IN30" s="51"/>
      <c r="IO30" s="51"/>
      <c r="IP30" s="51"/>
      <c r="IQ30" s="51"/>
      <c r="IR30" s="51"/>
      <c r="IS30" s="51"/>
      <c r="IT30" s="51"/>
      <c r="IU30" s="51"/>
      <c r="IV30" s="51"/>
      <c r="IW30" s="51"/>
      <c r="IX30" s="51"/>
      <c r="IY30" s="51"/>
      <c r="IZ30" s="51"/>
      <c r="JA30" s="51"/>
      <c r="JB30" s="51"/>
      <c r="JC30" s="51"/>
      <c r="JD30" s="51"/>
      <c r="JE30" s="51"/>
      <c r="JF30" s="51"/>
      <c r="JG30" s="51"/>
      <c r="JH30" s="51"/>
      <c r="JI30" s="51"/>
      <c r="JJ30" s="51"/>
      <c r="JK30" s="51"/>
      <c r="JL30" s="51"/>
      <c r="JM30" s="51"/>
      <c r="JN30" s="51"/>
      <c r="JO30" s="51"/>
      <c r="JP30" s="51"/>
      <c r="JQ30" s="51"/>
      <c r="JR30" s="51"/>
      <c r="JS30" s="51"/>
      <c r="JT30" s="51"/>
      <c r="JU30" s="51"/>
      <c r="JV30" s="51"/>
      <c r="JW30" s="51"/>
      <c r="JX30" s="51"/>
      <c r="JY30" s="51"/>
      <c r="JZ30" s="51"/>
      <c r="KA30" s="51"/>
      <c r="KB30" s="51"/>
      <c r="KC30" s="51"/>
      <c r="KD30" s="51"/>
      <c r="KE30" s="51"/>
      <c r="KF30" s="51"/>
      <c r="KG30" s="51"/>
      <c r="KH30" s="51"/>
      <c r="KI30" s="51"/>
      <c r="KJ30" s="51"/>
      <c r="KK30" s="51"/>
      <c r="KL30" s="51"/>
      <c r="KM30" s="51"/>
      <c r="KN30" s="51"/>
      <c r="KO30" s="51"/>
      <c r="KP30" s="51"/>
      <c r="KQ30" s="51"/>
      <c r="KR30" s="51"/>
      <c r="KS30" s="51"/>
      <c r="KT30" s="51"/>
      <c r="KU30" s="51"/>
      <c r="KV30" s="51"/>
      <c r="KW30" s="51"/>
      <c r="KX30" s="51"/>
      <c r="KY30" s="51"/>
      <c r="KZ30" s="51"/>
      <c r="LA30" s="51"/>
      <c r="LB30" s="51"/>
      <c r="LC30" s="51"/>
      <c r="LD30" s="51"/>
      <c r="LE30" s="51"/>
      <c r="LF30" s="51"/>
      <c r="LG30" s="51"/>
      <c r="LH30" s="51"/>
      <c r="LI30" s="51"/>
      <c r="LJ30" s="51"/>
      <c r="LK30" s="51"/>
      <c r="LL30" s="51"/>
      <c r="LM30" s="51"/>
      <c r="LN30" s="51"/>
      <c r="LO30" s="51"/>
      <c r="LP30" s="51"/>
      <c r="LQ30" s="51"/>
      <c r="LR30" s="51"/>
      <c r="LS30" s="51"/>
      <c r="LT30" s="51"/>
      <c r="LU30" s="51"/>
      <c r="LV30" s="51"/>
      <c r="LW30" s="51"/>
      <c r="LX30" s="51"/>
      <c r="LY30" s="51"/>
      <c r="LZ30" s="51"/>
      <c r="MA30" s="51"/>
      <c r="MB30" s="51"/>
      <c r="MC30" s="51"/>
      <c r="MD30" s="51"/>
      <c r="ME30" s="51"/>
      <c r="MF30" s="51"/>
      <c r="MG30" s="51"/>
      <c r="MH30" s="51"/>
      <c r="MI30" s="51"/>
      <c r="MJ30" s="51"/>
      <c r="MK30" s="51"/>
      <c r="ML30" s="51"/>
      <c r="MM30" s="51"/>
      <c r="MN30" s="51"/>
      <c r="MO30" s="51"/>
      <c r="MP30" s="51"/>
      <c r="MQ30" s="51"/>
      <c r="MR30" s="51"/>
      <c r="MS30" s="51"/>
      <c r="MT30" s="51"/>
      <c r="MU30" s="51"/>
      <c r="MV30" s="51"/>
      <c r="MW30" s="51"/>
      <c r="MX30" s="51"/>
      <c r="MY30" s="51"/>
      <c r="MZ30" s="51"/>
      <c r="NA30" s="51"/>
      <c r="NB30" s="51"/>
      <c r="NC30" s="51"/>
      <c r="ND30" s="51"/>
      <c r="NE30" s="51"/>
    </row>
  </sheetData>
  <mergeCells count="18">
    <mergeCell ref="HI4:IM4"/>
    <mergeCell ref="IN4:JQ4"/>
    <mergeCell ref="JR4:KV4"/>
    <mergeCell ref="A2:NE2"/>
    <mergeCell ref="A3:A5"/>
    <mergeCell ref="B3:B5"/>
    <mergeCell ref="C3:C5"/>
    <mergeCell ref="D3:D5"/>
    <mergeCell ref="E3:NE3"/>
    <mergeCell ref="E4:AI4"/>
    <mergeCell ref="AJ4:BK4"/>
    <mergeCell ref="BL4:CP4"/>
    <mergeCell ref="CQ4:DT4"/>
    <mergeCell ref="KW4:LZ4"/>
    <mergeCell ref="MA4:NE4"/>
    <mergeCell ref="DU4:EY4"/>
    <mergeCell ref="EZ4:GC4"/>
    <mergeCell ref="GD4:H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960CC-A99A-4A47-958B-AA3E2722DF1C}">
  <sheetPr>
    <tabColor theme="4" tint="0.79998168889431442"/>
  </sheetPr>
  <dimension ref="B1:H8"/>
  <sheetViews>
    <sheetView workbookViewId="0">
      <selection activeCell="B2" sqref="B2"/>
    </sheetView>
  </sheetViews>
  <sheetFormatPr defaultColWidth="9.140625" defaultRowHeight="15.75" x14ac:dyDescent="0.25"/>
  <cols>
    <col min="1" max="1" width="2.7109375" style="26" customWidth="1"/>
    <col min="2" max="2" width="5" style="26" customWidth="1"/>
    <col min="3" max="3" width="21.85546875" style="26" customWidth="1"/>
    <col min="4" max="4" width="9.5703125" style="26" customWidth="1"/>
    <col min="5" max="5" width="27.7109375" style="26" customWidth="1"/>
    <col min="6" max="6" width="46.5703125" style="26" customWidth="1"/>
    <col min="7" max="7" width="18.7109375" style="26" customWidth="1"/>
    <col min="8" max="8" width="16.7109375" style="26" customWidth="1"/>
    <col min="9" max="16384" width="9.140625" style="26"/>
  </cols>
  <sheetData>
    <row r="1" spans="2:8" x14ac:dyDescent="0.25">
      <c r="B1" s="243" t="s">
        <v>78</v>
      </c>
      <c r="C1" s="243"/>
      <c r="D1" s="243"/>
      <c r="E1" s="243"/>
      <c r="F1" s="243"/>
      <c r="G1" s="243"/>
      <c r="H1" s="243"/>
    </row>
    <row r="3" spans="2:8" ht="47.25" x14ac:dyDescent="0.25">
      <c r="B3" s="25" t="s">
        <v>11</v>
      </c>
      <c r="C3" s="25" t="s">
        <v>72</v>
      </c>
      <c r="D3" s="25" t="s">
        <v>73</v>
      </c>
      <c r="E3" s="25" t="s">
        <v>74</v>
      </c>
      <c r="F3" s="25" t="s">
        <v>75</v>
      </c>
      <c r="G3" s="25" t="s">
        <v>76</v>
      </c>
      <c r="H3" s="25" t="s">
        <v>77</v>
      </c>
    </row>
    <row r="4" spans="2:8" x14ac:dyDescent="0.25">
      <c r="B4" s="25"/>
      <c r="C4" s="25"/>
      <c r="D4" s="25"/>
      <c r="E4" s="25"/>
      <c r="F4" s="25"/>
      <c r="G4" s="25"/>
      <c r="H4" s="25"/>
    </row>
    <row r="5" spans="2:8" x14ac:dyDescent="0.25">
      <c r="B5" s="25"/>
      <c r="C5" s="25"/>
      <c r="D5" s="25"/>
      <c r="E5" s="25"/>
      <c r="F5" s="25"/>
      <c r="G5" s="25"/>
      <c r="H5" s="25"/>
    </row>
    <row r="6" spans="2:8" x14ac:dyDescent="0.25">
      <c r="B6" s="25"/>
      <c r="C6" s="25"/>
      <c r="D6" s="25"/>
      <c r="E6" s="25"/>
      <c r="F6" s="25"/>
      <c r="G6" s="25"/>
      <c r="H6" s="25"/>
    </row>
    <row r="7" spans="2:8" x14ac:dyDescent="0.25">
      <c r="B7" s="25"/>
      <c r="C7" s="25"/>
      <c r="D7" s="25"/>
      <c r="E7" s="25"/>
      <c r="F7" s="25"/>
      <c r="G7" s="25"/>
      <c r="H7" s="25"/>
    </row>
    <row r="8" spans="2:8" x14ac:dyDescent="0.25">
      <c r="B8" s="25"/>
      <c r="C8" s="25"/>
      <c r="D8" s="25"/>
      <c r="E8" s="25"/>
      <c r="F8" s="25"/>
      <c r="G8" s="25"/>
      <c r="H8" s="25"/>
    </row>
  </sheetData>
  <mergeCells count="1">
    <mergeCell ref="B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Форма КП</vt:lpstr>
      <vt:lpstr>ЛСР №1</vt:lpstr>
      <vt:lpstr>Ведомость ДМ</vt:lpstr>
      <vt:lpstr>ГПР</vt:lpstr>
      <vt:lpstr>Замечания-предложения к РД</vt:lpstr>
      <vt:lpstr>'Ведомость ДМ'!Область_печати</vt:lpstr>
      <vt:lpstr>'Форма КП'!Область_печати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Шушунов Сергей Сергеевич</dc:creator>
  <cp:lastModifiedBy>Шушунов Сергей Сергеевич</cp:lastModifiedBy>
  <cp:lastPrinted>2025-09-29T03:37:54Z</cp:lastPrinted>
  <dcterms:created xsi:type="dcterms:W3CDTF">2015-06-05T18:19:34Z</dcterms:created>
  <dcterms:modified xsi:type="dcterms:W3CDTF">2025-09-29T05:02:37Z</dcterms:modified>
</cp:coreProperties>
</file>